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/comment1.xml" ContentType="application/vnd.openxmlformats-officedocument.spreadsheetml.comments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 workbookPassword="F07E" lockStructure="1"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说明" sheetId="1" state="visible" r:id="rId1"/>
    <sheet xmlns:r="http://schemas.openxmlformats.org/officeDocument/2006/relationships" name="总览" sheetId="2" state="visible" r:id="rId2"/>
    <sheet xmlns:r="http://schemas.openxmlformats.org/officeDocument/2006/relationships" name="_参数" sheetId="3" state="veryHidden" r:id="rId3"/>
    <sheet xmlns:r="http://schemas.openxmlformats.org/officeDocument/2006/relationships" name="测算" sheetId="4" state="visible" r:id="rId4"/>
    <sheet xmlns:r="http://schemas.openxmlformats.org/officeDocument/2006/relationships" name="_引擎" sheetId="5" state="veryHidden" r:id="rId5"/>
  </sheets>
  <definedNames>
    <definedName name="_zqgx7v">'_参数'!$H$3:$H$36</definedName>
    <definedName name="_zk618t">'_参数'!$A$3:$A$135</definedName>
    <definedName name="_zixjw6">'_参数'!$D$3:$D$135</definedName>
    <definedName name="_zwjvbx">'_参数'!$E$3:$E$135</definedName>
    <definedName name="_zf8jb3">'_参数'!$F$3:$F$135</definedName>
    <definedName name="_zkrpcw">'测算'!$C$5</definedName>
    <definedName name="_zlj03i">'测算'!$C$6</definedName>
    <definedName name="_z3xkci">'测算'!$C$7</definedName>
    <definedName name="_zcshgi">'测算'!$C$8</definedName>
    <definedName name="_zhsdpd">'测算'!$C$9</definedName>
    <definedName name="_zghnzo">'测算'!$C$12</definedName>
    <definedName name="_z82y2b">'测算'!$C$13</definedName>
    <definedName name="_zp8xhg">'测算'!$C$14</definedName>
    <definedName name="_zx32ce">'测算'!$C$15</definedName>
    <definedName name="_zksy9m">'测算'!$C$16</definedName>
    <definedName name="_z35wsg">'测算'!$C$20</definedName>
    <definedName name="_zix1lp">'测算'!$C$21</definedName>
    <definedName name="_z4kl0k">'测算'!$C$22</definedName>
    <definedName name="_z98gva">'测算'!$C$23</definedName>
    <definedName name="_zrb6fn">'测算'!$C$24</definedName>
    <definedName name="_zjttpb">'测算'!$C$25</definedName>
    <definedName name="_zbhssj">'测算'!$C$26</definedName>
    <definedName name="_zzoaus">'测算'!$C$27</definedName>
    <definedName name="_zftf5w">'测算'!$C$30</definedName>
    <definedName name="_z6mxd8">'测算'!$C$31</definedName>
    <definedName name="_zvtsqd">'测算'!$C$32</definedName>
    <definedName name="_zg5443">'测算'!$C$33</definedName>
    <definedName name="_zk8d4f">'测算'!$C$36</definedName>
    <definedName name="_zhw65s">'测算'!$C$37</definedName>
    <definedName name="_zf2rqb">'测算'!$C$38</definedName>
    <definedName name="_zsw7bq">'测算'!$C$39</definedName>
    <definedName name="_z3m5k2">'测算'!$C$40</definedName>
    <definedName name="_z5ctcx">'测算'!$C$41</definedName>
    <definedName name="_z78i0e">'测算'!$C$42</definedName>
    <definedName name="_zw04od">'测算'!$C$43</definedName>
    <definedName name="_z8d2zq">'测算'!$C$44</definedName>
    <definedName name="_zzvbgr">'测算'!$C$47</definedName>
    <definedName name="_zzl39o">'测算'!$C$48</definedName>
    <definedName name="_zm9z4k">'测算'!$C$49</definedName>
    <definedName name="_zbf04s">'测算'!$C$50</definedName>
    <definedName name="_z1v75m">'测算'!$C$51</definedName>
    <definedName name="_zyywx7">'测算'!$C$52</definedName>
    <definedName name="_z0ek84">'测算'!$C$53</definedName>
    <definedName name="_z7fj0w">'测算'!$C$54</definedName>
    <definedName name="_zia8ld">'测算'!$C$55</definedName>
    <definedName name="_z5jv12">'测算'!$C$56</definedName>
    <definedName name="_zqudm6">'测算'!$C$57</definedName>
    <definedName name="_z52v2x">'测算'!$C$58</definedName>
    <definedName name="_zs8hxw">'测算'!$C$59</definedName>
    <definedName name="_zpnfsf">'测算'!$C$60</definedName>
    <definedName name="_zawtbl">'测算'!$C$61</definedName>
    <definedName name="_ziqmyk">'测算'!$C$62</definedName>
    <definedName name="_z0m7ys">'测算'!$C$63</definedName>
    <definedName name="_zstij9">'_引擎'!$B$2</definedName>
    <definedName name="_zs8nv3">'_引擎'!$B$3</definedName>
    <definedName name="_zt11ik">'_引擎'!$B$4</definedName>
    <definedName name="_z5gr99">'_引擎'!$B$5</definedName>
    <definedName name="_zsbxps">'_引擎'!$B$6</definedName>
    <definedName name="_zkt2jm">'_引擎'!$B$7</definedName>
    <definedName name="_zy8wik">'_引擎'!$B$8</definedName>
    <definedName name="_zl0ecr">'_引擎'!$B$9</definedName>
    <definedName name="_zm650r">'_引擎'!$B$10</definedName>
    <definedName name="_z928ab">'_引擎'!$B$11</definedName>
    <definedName name="_zqnyts">'_引擎'!$B$12</definedName>
    <definedName name="_ze6p1m">'_引擎'!$B$13</definedName>
    <definedName name="_ztkj9g">'_引擎'!$B$14</definedName>
    <definedName name="_zpzqxb">'_引擎'!$B$15</definedName>
    <definedName name="_zqhyli">'_引擎'!$B$16</definedName>
    <definedName name="_za7fy7">'_引擎'!$B$17</definedName>
    <definedName name="_zvy62p">'_引擎'!$B$18</definedName>
    <definedName name="_z3179u">'_引擎'!$B$19</definedName>
    <definedName name="_zfzfsr">'_引擎'!$B$20</definedName>
    <definedName name="_zmorcm">'_引擎'!$B$21</definedName>
    <definedName name="_zhg1yd">'_引擎'!$B$22</definedName>
    <definedName name="_zc82pq">'_引擎'!$B$23</definedName>
    <definedName name="_zkh06o">'_引擎'!$B$24</definedName>
    <definedName name="_z517d3">'_引擎'!$B$25</definedName>
    <definedName name="_z67r2o">'_引擎'!$B$26</definedName>
    <definedName name="_z1tt59">'_引擎'!$B$27</definedName>
    <definedName name="_zrzkf6">'_引擎'!$B$28</definedName>
    <definedName name="_zx5hja">'_引擎'!$B$29</definedName>
    <definedName name="_zn0hoh">'_引擎'!$B$30</definedName>
    <definedName name="_zmqr32">'_引擎'!$B$31</definedName>
    <definedName name="_z2al7i">'_引擎'!$B$32</definedName>
    <definedName name="_zgsfrl">'_引擎'!$B$33</definedName>
    <definedName name="_zbb0h1">'_引擎'!$B$34</definedName>
    <definedName name="_zh2s1v">'_引擎'!$B$35</definedName>
    <definedName name="_zxo0o2">'_引擎'!$B$36</definedName>
    <definedName name="_zk7d33">'_引擎'!$B$37</definedName>
    <definedName name="_zupe8l">'_引擎'!$B$38</definedName>
    <definedName name="_z0jo6h">'_引擎'!$B$39</definedName>
    <definedName name="_zkfhzg">'_引擎'!$B$40</definedName>
    <definedName name="_z4gfqk">'_引擎'!$B$41</definedName>
    <definedName name="_zk1wd3">'_引擎'!$B$42</definedName>
    <definedName name="_ztfkfy">'_引擎'!$B$43</definedName>
    <definedName name="_zu5jm5">'_引擎'!$AP$47:$AP$72</definedName>
    <definedName name="_zzpzma">'_引擎'!$AQ$47:$AQ$72</definedName>
    <definedName name="_z47e1n">'_引擎'!$AR$47:$AR$72</definedName>
    <definedName name="_zhb49w">'_引擎'!$AS$47:$AS$72</definedName>
    <definedName name="_zqxysi">'_引擎'!$AT$47:$AT$72</definedName>
    <definedName name="_zd9fqm">'_引擎'!$AU$47:$AU$72</definedName>
    <definedName name="_zn8bpc">'_引擎'!$AV$47:$AV$72</definedName>
    <definedName name="_zcoe8g">'_引擎'!$AW$47:$AW$72</definedName>
    <definedName name="_z8varn">'_引擎'!$AX$47:$AX$72</definedName>
    <definedName name="_zh2b2o">'_引擎'!$AY$47:$AY$72</definedName>
    <definedName name="_zylg1g">'_引擎'!$AQ$48:$AQ$72</definedName>
    <definedName name="_zs6qdd">'_引擎'!$AX$48:$AX$72</definedName>
    <definedName name="_zzvb05">'_引擎'!$AY$48:$AY$72</definedName>
    <definedName name="_zmuh0g">'_引擎'!$A$47:$A$72</definedName>
    <definedName name="_zsqbm8">'_引擎'!$B$74</definedName>
    <definedName name="_zzj3wj">'_引擎'!$B$75</definedName>
    <definedName name="_zqsho0">'_引擎'!$B$76</definedName>
    <definedName name="_zpy13v">'_引擎'!$B$77</definedName>
    <definedName name="_zxdbxd">'_引擎'!$B$78</definedName>
    <definedName name="_ztsxiq">'_引擎'!$B$79</definedName>
    <definedName name="_zvfwiv">'_引擎'!$B$80</definedName>
    <definedName name="_z3ewnh">'_引擎'!$B$81</definedName>
    <definedName name="_z2tbwe">'_引擎'!$B$82</definedName>
    <definedName name="_z8sr6o">'_引擎'!$B$83</definedName>
    <definedName name="_z3lcbu">'_引擎'!$B$84</definedName>
    <definedName name="_z4kqsx">'_引擎'!$B$85</definedName>
    <definedName name="_zehl1m">'_引擎'!$B$86</definedName>
    <definedName name="_JZJW_ORIGIN" hidden="1">"JIEZIJIUWEI-2026-V1"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0.0000"/>
    <numFmt numFmtId="165" formatCode="0.00###"/>
    <numFmt numFmtId="166" formatCode="#,##0.0"/>
    <numFmt numFmtId="167" formatCode="0.0%"/>
    <numFmt numFmtId="168" formatCode="0.0"/>
    <numFmt numFmtId="169" formatCode="0.000"/>
  </numFmts>
  <fonts count="11">
    <font>
      <name val="Calibri"/>
      <family val="2"/>
      <color theme="1"/>
      <sz val="11"/>
      <scheme val="minor"/>
    </font>
    <font>
      <name val="微软雅黑"/>
      <b val="1"/>
      <color rgb="001A1A1A"/>
      <sz val="16"/>
    </font>
    <font>
      <name val="微软雅黑"/>
      <b val="1"/>
      <color rgb="001F3864"/>
      <sz val="10"/>
    </font>
    <font>
      <name val="微软雅黑"/>
      <color rgb="001A1A1A"/>
      <sz val="10"/>
    </font>
    <font>
      <name val="微软雅黑"/>
      <color rgb="007F7F7F"/>
      <sz val="9"/>
    </font>
    <font>
      <name val="微软雅黑"/>
      <b val="1"/>
      <color rgb="001A1A1A"/>
      <sz val="13"/>
    </font>
    <font>
      <name val="微软雅黑"/>
      <b val="1"/>
      <color rgb="00FFFFFF"/>
      <sz val="10"/>
    </font>
    <font>
      <name val="微软雅黑"/>
      <b val="1"/>
      <color rgb="000000C0"/>
      <sz val="10"/>
    </font>
    <font>
      <name val="微软雅黑"/>
      <b val="1"/>
      <color rgb="00BF8F00"/>
      <sz val="9"/>
    </font>
    <font>
      <name val="微软雅黑"/>
      <color rgb="007F7F7F"/>
      <sz val="10"/>
    </font>
    <font>
      <name val="微软雅黑"/>
      <b val="1"/>
      <color rgb="001A1A1A"/>
      <sz val="22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7E0"/>
      </patternFill>
    </fill>
  </fills>
  <borders count="24">
    <border>
      <left/>
      <right/>
      <top/>
      <bottom/>
      <diagonal/>
    </border>
    <border>
      <bottom style="medium">
        <color rgb="001F3864"/>
      </bottom>
    </border>
    <border>
      <bottom style="thin">
        <color rgb="001F3864"/>
      </bottom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  <border>
      <bottom style="thin">
        <color rgb="00D9D9D9"/>
      </bottom>
    </border>
    <border>
      <left style="thin">
        <color rgb="00BFBFBF"/>
      </left>
      <top style="thin">
        <color rgb="00BFBFBF"/>
      </top>
      <bottom style="hair">
        <color rgb="00D9D9D9"/>
      </bottom>
    </border>
    <border>
      <top style="thin">
        <color rgb="00BFBFBF"/>
      </top>
      <bottom style="hair">
        <color rgb="00D9D9D9"/>
      </bottom>
    </border>
    <border>
      <right style="thin">
        <color rgb="00BFBFBF"/>
      </right>
      <top style="thin">
        <color rgb="00BFBFBF"/>
      </top>
      <bottom style="hair">
        <color rgb="00D9D9D9"/>
      </bottom>
    </border>
    <border>
      <left style="thin">
        <color rgb="00BFBFBF"/>
      </left>
      <bottom style="hair">
        <color rgb="00D9D9D9"/>
      </bottom>
    </border>
    <border>
      <bottom style="hair">
        <color rgb="00D9D9D9"/>
      </bottom>
    </border>
    <border>
      <right style="thin">
        <color rgb="00BFBFBF"/>
      </right>
      <bottom style="hair">
        <color rgb="00D9D9D9"/>
      </bottom>
    </border>
    <border>
      <left style="thin">
        <color rgb="00BFBFBF"/>
      </left>
      <bottom style="thin">
        <color rgb="00BFBFBF"/>
      </bottom>
    </border>
    <border>
      <bottom style="thin">
        <color rgb="00BFBFBF"/>
      </bottom>
    </border>
    <border>
      <right style="thin">
        <color rgb="00BFBFBF"/>
      </right>
      <bottom style="thin">
        <color rgb="00BFBFBF"/>
      </bottom>
    </border>
    <border>
      <left style="thin">
        <color rgb="00BFBFBF"/>
      </left>
      <top style="thin">
        <color rgb="00BFBFBF"/>
      </top>
      <bottom style="medium">
        <color rgb="001F3864"/>
      </bottom>
    </border>
    <border>
      <top style="thin">
        <color rgb="00BFBFBF"/>
      </top>
      <bottom style="medium">
        <color rgb="001F3864"/>
      </bottom>
    </border>
    <border>
      <right style="thin">
        <color rgb="00BFBFBF"/>
      </right>
      <top style="thin">
        <color rgb="00BFBFBF"/>
      </top>
      <bottom style="medium">
        <color rgb="001F3864"/>
      </bottom>
    </border>
    <border>
      <left/>
      <right/>
      <top style="medium">
        <color rgb="001F3864"/>
      </top>
      <bottom/>
    </border>
    <border>
      <left/>
      <right/>
      <top/>
      <bottom style="hair">
        <color rgb="00D9D9D9"/>
      </bottom>
    </border>
    <border>
      <left/>
      <right style="hair">
        <color rgb="00D9D9D9"/>
      </right>
      <top style="medium">
        <color rgb="001F3864"/>
      </top>
      <bottom/>
    </border>
    <border>
      <left/>
      <right style="hair">
        <color rgb="00D9D9D9"/>
      </right>
      <top/>
      <bottom/>
    </border>
    <border>
      <left/>
      <right style="hair">
        <color rgb="00D9D9D9"/>
      </right>
      <top/>
      <bottom style="hair">
        <color rgb="00D9D9D9"/>
      </bottom>
    </border>
    <border>
      <left/>
      <right/>
      <top style="hair">
        <color rgb="00D9D9D9"/>
      </top>
      <bottom/>
    </border>
    <border>
      <left/>
      <right/>
      <top style="hair">
        <color rgb="00D9D9D9"/>
      </top>
      <bottom/>
      <diagonal/>
    </border>
  </borders>
  <cellStyleXfs count="1">
    <xf numFmtId="0" fontId="0" fillId="0" borderId="0"/>
  </cellStyleXfs>
  <cellXfs count="58">
    <xf numFmtId="0" fontId="0" fillId="0" borderId="0" pivotButton="0" quotePrefix="0" xfId="0"/>
    <xf numFmtId="0" fontId="1" fillId="0" borderId="0" applyProtection="1" pivotButton="0" quotePrefix="0" xfId="0">
      <protection locked="1" hidden="1"/>
    </xf>
    <xf numFmtId="0" fontId="2" fillId="0" borderId="0" applyAlignment="1" applyProtection="1" pivotButton="0" quotePrefix="0" xfId="0">
      <alignment vertical="top" wrapText="1"/>
      <protection locked="1" hidden="1"/>
    </xf>
    <xf numFmtId="0" fontId="3" fillId="0" borderId="0" applyAlignment="1" applyProtection="1" pivotButton="0" quotePrefix="0" xfId="0">
      <alignment vertical="top" wrapText="1"/>
      <protection locked="1" hidden="1"/>
    </xf>
    <xf numFmtId="0" fontId="4" fillId="0" borderId="0" applyAlignment="1" applyProtection="1" pivotButton="0" quotePrefix="0" xfId="0">
      <alignment vertical="top" wrapText="1"/>
      <protection locked="1" hidden="1"/>
    </xf>
    <xf numFmtId="0" fontId="0" fillId="0" borderId="0" applyProtection="1" pivotButton="0" quotePrefix="0" xfId="0">
      <protection locked="1" hidden="1"/>
    </xf>
    <xf numFmtId="0" fontId="1" fillId="0" borderId="0" applyAlignment="1" applyProtection="1" pivotButton="0" quotePrefix="0" xfId="0">
      <alignment horizontal="left" vertical="center"/>
      <protection locked="1" hidden="1"/>
    </xf>
    <xf numFmtId="0" fontId="9" fillId="0" borderId="0" applyAlignment="1" applyProtection="1" pivotButton="0" quotePrefix="0" xfId="0">
      <alignment horizontal="right" vertical="center"/>
      <protection locked="1" hidden="1"/>
    </xf>
    <xf numFmtId="0" fontId="4" fillId="0" borderId="0" applyAlignment="1" applyProtection="1" pivotButton="0" quotePrefix="0" xfId="0">
      <alignment horizontal="left" vertical="center"/>
      <protection locked="1" hidden="1"/>
    </xf>
    <xf numFmtId="0" fontId="4" fillId="0" borderId="17" applyAlignment="1" applyProtection="1" pivotButton="0" quotePrefix="0" xfId="0">
      <alignment horizontal="center" vertical="center"/>
      <protection locked="1" hidden="1"/>
    </xf>
    <xf numFmtId="0" fontId="0" fillId="0" borderId="17" applyProtection="1" pivotButton="0" quotePrefix="0" xfId="0">
      <protection locked="1" hidden="1"/>
    </xf>
    <xf numFmtId="0" fontId="0" fillId="0" borderId="19" applyProtection="1" pivotButton="0" quotePrefix="0" xfId="0">
      <protection locked="1" hidden="1"/>
    </xf>
    <xf numFmtId="10" fontId="10" fillId="0" borderId="0" applyAlignment="1" applyProtection="1" pivotButton="0" quotePrefix="0" xfId="0">
      <alignment horizontal="center" vertical="center"/>
      <protection locked="1" hidden="1"/>
    </xf>
    <xf numFmtId="0" fontId="0" fillId="0" borderId="20" applyProtection="1" pivotButton="0" quotePrefix="0" xfId="0">
      <protection locked="1" hidden="1"/>
    </xf>
    <xf numFmtId="3" fontId="10" fillId="0" borderId="0" applyAlignment="1" applyProtection="1" pivotButton="0" quotePrefix="0" xfId="0">
      <alignment horizontal="center" vertical="center"/>
      <protection locked="1" hidden="1"/>
    </xf>
    <xf numFmtId="168" fontId="10" fillId="0" borderId="0" applyAlignment="1" applyProtection="1" pivotButton="0" quotePrefix="0" xfId="0">
      <alignment horizontal="center" vertical="center"/>
      <protection locked="1" hidden="1"/>
    </xf>
    <xf numFmtId="169" fontId="10" fillId="0" borderId="0" applyAlignment="1" applyProtection="1" pivotButton="0" quotePrefix="0" xfId="0">
      <alignment horizontal="center" vertical="center"/>
      <protection locked="1" hidden="1"/>
    </xf>
    <xf numFmtId="0" fontId="4" fillId="0" borderId="18" applyAlignment="1" applyProtection="1" pivotButton="0" quotePrefix="0" xfId="0">
      <alignment horizontal="center" vertical="center"/>
      <protection locked="1" hidden="1"/>
    </xf>
    <xf numFmtId="0" fontId="0" fillId="0" borderId="18" applyProtection="1" pivotButton="0" quotePrefix="0" xfId="0">
      <protection locked="1" hidden="1"/>
    </xf>
    <xf numFmtId="0" fontId="0" fillId="0" borderId="21" applyProtection="1" pivotButton="0" quotePrefix="0" xfId="0">
      <protection locked="1" hidden="1"/>
    </xf>
    <xf numFmtId="0" fontId="4" fillId="0" borderId="22" applyAlignment="1" applyProtection="1" pivotButton="0" quotePrefix="0" xfId="0">
      <alignment horizontal="left" vertical="center"/>
      <protection locked="1" hidden="1"/>
    </xf>
    <xf numFmtId="0" fontId="0" fillId="0" borderId="23" applyProtection="1" pivotButton="0" quotePrefix="0" xfId="0">
      <protection locked="1" hidden="1"/>
    </xf>
    <xf numFmtId="0" fontId="4" fillId="0" borderId="22" applyAlignment="1" applyProtection="1" pivotButton="0" quotePrefix="0" xfId="0">
      <alignment horizontal="right" vertical="center"/>
      <protection locked="1" hidden="1"/>
    </xf>
    <xf numFmtId="0" fontId="5" fillId="0" borderId="0" applyProtection="1" pivotButton="0" quotePrefix="0" xfId="0">
      <protection locked="1" hidden="1"/>
    </xf>
    <xf numFmtId="0" fontId="4" fillId="0" borderId="0" applyProtection="1" pivotButton="0" quotePrefix="0" xfId="0">
      <protection locked="1" hidden="1"/>
    </xf>
    <xf numFmtId="0" fontId="6" fillId="2" borderId="1" applyAlignment="1" applyProtection="1" pivotButton="0" quotePrefix="0" xfId="0">
      <alignment horizontal="center" vertical="center" wrapText="1"/>
      <protection locked="1" hidden="1"/>
    </xf>
    <xf numFmtId="0" fontId="2" fillId="0" borderId="2" applyAlignment="1" applyProtection="1" pivotButton="0" quotePrefix="0" xfId="0">
      <alignment vertical="center"/>
      <protection locked="1" hidden="1"/>
    </xf>
    <xf numFmtId="0" fontId="0" fillId="0" borderId="2" applyProtection="1" pivotButton="0" quotePrefix="0" xfId="0">
      <protection locked="1" hidden="1"/>
    </xf>
    <xf numFmtId="0" fontId="3" fillId="0" borderId="5" applyProtection="1" pivotButton="0" quotePrefix="0" xfId="0">
      <protection locked="1" hidden="1"/>
    </xf>
    <xf numFmtId="10" fontId="3" fillId="0" borderId="6" applyAlignment="1" applyProtection="1" pivotButton="0" quotePrefix="0" xfId="0">
      <alignment horizontal="right"/>
      <protection locked="1" hidden="1"/>
    </xf>
    <xf numFmtId="0" fontId="4" fillId="0" borderId="7" applyProtection="1" pivotButton="0" quotePrefix="0" xfId="0">
      <protection locked="1" hidden="1"/>
    </xf>
    <xf numFmtId="0" fontId="3" fillId="0" borderId="0" applyProtection="1" pivotButton="0" quotePrefix="0" xfId="0">
      <protection locked="1" hidden="1"/>
    </xf>
    <xf numFmtId="0" fontId="7" fillId="3" borderId="3" applyAlignment="1" applyProtection="1" pivotButton="0" quotePrefix="0" xfId="0">
      <alignment horizontal="center"/>
      <protection locked="0" hidden="0"/>
    </xf>
    <xf numFmtId="0" fontId="3" fillId="0" borderId="8" applyProtection="1" pivotButton="0" quotePrefix="0" xfId="0">
      <protection locked="1" hidden="1"/>
    </xf>
    <xf numFmtId="10" fontId="3" fillId="0" borderId="9" applyAlignment="1" applyProtection="1" pivotButton="0" quotePrefix="0" xfId="0">
      <alignment horizontal="right"/>
      <protection locked="1" hidden="1"/>
    </xf>
    <xf numFmtId="0" fontId="4" fillId="0" borderId="10" applyProtection="1" pivotButton="0" quotePrefix="0" xfId="0">
      <protection locked="1" hidden="1"/>
    </xf>
    <xf numFmtId="166" fontId="3" fillId="0" borderId="9" applyAlignment="1" applyProtection="1" pivotButton="0" quotePrefix="0" xfId="0">
      <alignment horizontal="right"/>
      <protection locked="1" hidden="1"/>
    </xf>
    <xf numFmtId="2" fontId="3" fillId="0" borderId="9" applyAlignment="1" applyProtection="1" pivotButton="0" quotePrefix="0" xfId="0">
      <alignment horizontal="right"/>
      <protection locked="1" hidden="1"/>
    </xf>
    <xf numFmtId="164" fontId="3" fillId="0" borderId="9" applyAlignment="1" applyProtection="1" pivotButton="0" quotePrefix="0" xfId="0">
      <alignment horizontal="right"/>
      <protection locked="1" hidden="1"/>
    </xf>
    <xf numFmtId="167" fontId="3" fillId="0" borderId="9" applyAlignment="1" applyProtection="1" pivotButton="0" quotePrefix="0" xfId="0">
      <alignment horizontal="right"/>
      <protection locked="1" hidden="1"/>
    </xf>
    <xf numFmtId="164" fontId="3" fillId="0" borderId="4" applyAlignment="1" applyProtection="1" pivotButton="0" quotePrefix="0" xfId="0">
      <alignment horizontal="right"/>
      <protection locked="1" hidden="1"/>
    </xf>
    <xf numFmtId="0" fontId="7" fillId="3" borderId="3" applyAlignment="1" applyProtection="1" pivotButton="0" quotePrefix="0" xfId="0">
      <alignment horizontal="right"/>
      <protection locked="0" hidden="0"/>
    </xf>
    <xf numFmtId="0" fontId="3" fillId="0" borderId="11" applyProtection="1" pivotButton="0" quotePrefix="0" xfId="0">
      <protection locked="1" hidden="1"/>
    </xf>
    <xf numFmtId="166" fontId="3" fillId="0" borderId="12" applyAlignment="1" applyProtection="1" pivotButton="0" quotePrefix="0" xfId="0">
      <alignment horizontal="right"/>
      <protection locked="1" hidden="1"/>
    </xf>
    <xf numFmtId="0" fontId="4" fillId="0" borderId="13" applyProtection="1" pivotButton="0" quotePrefix="0" xfId="0">
      <protection locked="1" hidden="1"/>
    </xf>
    <xf numFmtId="0" fontId="8" fillId="0" borderId="0" applyProtection="1" pivotButton="0" quotePrefix="0" xfId="0">
      <protection locked="1" hidden="1"/>
    </xf>
    <xf numFmtId="167" fontId="3" fillId="0" borderId="4" applyAlignment="1" applyProtection="1" pivotButton="0" quotePrefix="0" xfId="0">
      <alignment horizontal="right"/>
      <protection locked="1" hidden="1"/>
    </xf>
    <xf numFmtId="0" fontId="3" fillId="0" borderId="4" applyAlignment="1" applyProtection="1" pivotButton="0" quotePrefix="0" xfId="0">
      <alignment horizontal="center"/>
      <protection locked="1" hidden="1"/>
    </xf>
    <xf numFmtId="165" fontId="7" fillId="3" borderId="3" applyAlignment="1" applyProtection="1" pivotButton="0" quotePrefix="0" xfId="0">
      <alignment horizontal="right"/>
      <protection locked="0" hidden="0"/>
    </xf>
    <xf numFmtId="166" fontId="3" fillId="0" borderId="4" applyAlignment="1" applyProtection="1" pivotButton="0" quotePrefix="0" xfId="0">
      <alignment horizontal="right"/>
      <protection locked="1" hidden="1"/>
    </xf>
    <xf numFmtId="10" fontId="7" fillId="3" borderId="3" applyAlignment="1" applyProtection="1" pivotButton="0" quotePrefix="0" xfId="0">
      <alignment horizontal="right"/>
      <protection locked="0" hidden="0"/>
    </xf>
    <xf numFmtId="0" fontId="6" fillId="2" borderId="14" applyAlignment="1" applyProtection="1" pivotButton="0" quotePrefix="0" xfId="0">
      <alignment horizontal="center" vertical="center" wrapText="1"/>
      <protection locked="1" hidden="1"/>
    </xf>
    <xf numFmtId="0" fontId="6" fillId="2" borderId="15" applyAlignment="1" applyProtection="1" pivotButton="0" quotePrefix="0" xfId="0">
      <alignment horizontal="center" vertical="center" wrapText="1"/>
      <protection locked="1" hidden="1"/>
    </xf>
    <xf numFmtId="0" fontId="6" fillId="2" borderId="16" applyAlignment="1" applyProtection="1" pivotButton="0" quotePrefix="0" xfId="0">
      <alignment horizontal="center" vertical="center" wrapText="1"/>
      <protection locked="1" hidden="1"/>
    </xf>
    <xf numFmtId="1" fontId="3" fillId="0" borderId="8" applyAlignment="1" applyProtection="1" pivotButton="0" quotePrefix="0" xfId="0">
      <alignment horizontal="right"/>
      <protection locked="1" hidden="1"/>
    </xf>
    <xf numFmtId="166" fontId="3" fillId="0" borderId="10" applyAlignment="1" applyProtection="1" pivotButton="0" quotePrefix="0" xfId="0">
      <alignment horizontal="right"/>
      <protection locked="1" hidden="1"/>
    </xf>
    <xf numFmtId="1" fontId="3" fillId="0" borderId="11" applyAlignment="1" applyProtection="1" pivotButton="0" quotePrefix="0" xfId="0">
      <alignment horizontal="right"/>
      <protection locked="1" hidden="1"/>
    </xf>
    <xf numFmtId="166" fontId="3" fillId="0" borderId="13" applyAlignment="1" applyProtection="1" pivotButton="0" quotePrefix="0" xfId="0">
      <alignment horizontal="right"/>
      <protection locked="1" hidden="1"/>
    </xf>
  </cellXfs>
  <cellStyles count="1">
    <cellStyle name="Normal" xfId="0" builtinId="0" hidden="0"/>
  </cellStyles>
  <dxfs count="2">
    <dxf>
      <font>
        <b val="1"/>
        <color rgb="00FFFFFF"/>
      </font>
      <fill>
        <patternFill patternType="solid">
          <fgColor rgb="00C00000"/>
        </patternFill>
      </fill>
    </dxf>
    <dxf>
      <fill>
        <patternFill patternType="solid">
          <fgColor rgb="00E2EF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运营期净现金流与累计回收（万元）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v>逐年税后净现金流</v>
          </tx>
          <spPr>
            <a:solidFill xmlns:a="http://schemas.openxmlformats.org/drawingml/2006/main">
              <a:srgbClr val="1F3864"/>
            </a:solidFill>
            <a:ln xmlns:a="http://schemas.openxmlformats.org/drawingml/2006/main">
              <a:prstDash val="solid"/>
            </a:ln>
          </spPr>
          <cat>
            <numRef>
              <f>'测算'!$B$71:$B$95</f>
            </numRef>
          </cat>
          <val>
            <numRef>
              <f>'测算'!$J$71:$J$95</f>
            </numRef>
          </val>
        </ser>
        <gapWidth val="40"/>
        <axId val="10"/>
        <axId val="100"/>
      </barChart>
      <lineChart>
        <grouping val="standard"/>
        <ser>
          <idx val="1"/>
          <order val="1"/>
          <tx>
            <v>累计税后净现金流</v>
          </tx>
          <spPr>
            <a:ln xmlns:a="http://schemas.openxmlformats.org/drawingml/2006/main" w="28000">
              <a:solidFill>
                <a:srgbClr val="C0000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'测算'!$K$71:$K$95</f>
            </numRef>
          </val>
          <smooth val="0"/>
        </ser>
        <axId val="10"/>
        <axId val="2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TickMark val="none"/>
        <minorTickMark val="none"/>
        <crossAx val="10"/>
      </valAx>
      <valAx>
        <axId val="200"/>
        <scaling>
          <orientation val="minMax"/>
        </scaling>
        <axPos val="l"/>
        <majorGridlines/>
        <majorTickMark val="none"/>
        <minorTickMark val="none"/>
        <crossAx val="10"/>
        <crosses val="max"/>
      </valAx>
    </plotArea>
    <legend>
      <legendPos val="b"/>
    </legend>
    <plotVisOnly val="0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用户侧年费用构成（万元）</a:t>
            </a:r>
          </a:p>
        </rich>
      </tx>
      <overlay val="0"/>
    </title>
    <plotArea>
      <barChart>
        <barDir val="bar"/>
        <grouping val="clustered"/>
        <ser>
          <idx val="0"/>
          <order val="0"/>
          <tx>
            <v>年费用</v>
          </tx>
          <spPr>
            <a:solidFill xmlns:a="http://schemas.openxmlformats.org/drawingml/2006/main">
              <a:srgbClr val="1F3864"/>
            </a:solidFill>
            <a:ln xmlns:a="http://schemas.openxmlformats.org/drawingml/2006/main">
              <a:prstDash val="solid"/>
            </a:ln>
          </spPr>
          <cat>
            <numRef>
              <f>'测算'!$H$29:$H$32</f>
            </numRef>
          </cat>
          <val>
            <numRef>
              <f>'测算'!$I$29:$I$32</f>
            </numRef>
          </val>
        </ser>
        <dLbls>
          <numFmt formatCode="#,##0"/>
          <dLblPos val="outEnd"/>
          <showLegendKey val="0"/>
          <showVal val="1"/>
          <showCatName val="0"/>
          <showSerName val="0"/>
          <showPercent val="0"/>
          <showBubbleSize val="0"/>
        </dLbls>
        <gapWidth val="6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TickMark val="none"/>
        <minorTickMark val="none"/>
        <crossAx val="10"/>
      </valAx>
    </plotArea>
    <plotVisOnly val="0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综合到户电价对比（元/kWh）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v>综合到户电价</v>
          </tx>
          <spPr>
            <a:solidFill xmlns:a="http://schemas.openxmlformats.org/drawingml/2006/main">
              <a:srgbClr val="1F3864"/>
            </a:solidFill>
            <a:ln xmlns:a="http://schemas.openxmlformats.org/drawingml/2006/main">
              <a:prstDash val="solid"/>
            </a:ln>
          </spPr>
          <cat>
            <numRef>
              <f>'测算'!$H$39:$H$40</f>
            </numRef>
          </cat>
          <val>
            <numRef>
              <f>'测算'!$I$39:$I$40</f>
            </numRef>
          </val>
        </ser>
        <dLbls>
          <numFmt formatCode="0.000"/>
          <dLblPos val="outEnd"/>
          <showLegendKey val="0"/>
          <showVal val="1"/>
          <showCatName val="0"/>
          <showSerName val="0"/>
          <showPercent val="0"/>
          <showBubbleSize val="0"/>
        </dLbls>
        <gapWidth val="8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  <min val="0"/>
        </scaling>
        <delete val="0"/>
        <axPos val="l"/>
        <majorTickMark val="none"/>
        <minorTickMark val="none"/>
        <crossAx val="10"/>
      </valAx>
    </plotArea>
    <plotVisOnly val="0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投资构成（%）</a:t>
            </a:r>
          </a:p>
        </rich>
      </tx>
      <overlay val="0"/>
    </title>
    <plotArea>
      <doughnutChart>
        <varyColors val="1"/>
        <ser>
          <idx val="0"/>
          <order val="0"/>
          <tx>
            <v>投资构成</v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F3864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2E5090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5B7FB4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8FA9CE"/>
              </a:solidFill>
              <a:ln xmlns:a="http://schemas.openxmlformats.org/drawingml/2006/main">
                <a:prstDash val="solid"/>
              </a:ln>
            </spPr>
          </dPt>
          <cat>
            <numRef>
              <f>'测算'!$H$22:$H$25</f>
            </numRef>
          </cat>
          <val>
            <numRef>
              <f>'测算'!$I$22:$I$25</f>
            </numRef>
          </val>
        </ser>
        <dLbls>
          <numFmt formatCode="0.0%"/>
          <showLegendKey val="0"/>
          <showVal val="0"/>
          <showCatName val="0"/>
          <showSerName val="0"/>
          <showPercent val="1"/>
          <showBubbleSize val="0"/>
        </dLbls>
        <firstSliceAng val="0"/>
        <holeSize val="55"/>
      </doughnutChart>
    </plotArea>
    <legend>
      <legendPos val="r"/>
    </legend>
    <plotVisOnly val="0"/>
    <dispBlanksAs val="gap"/>
  </chart>
</chartSpace>
</file>

<file path=xl/comments/comment1.xml><?xml version="1.0" encoding="utf-8"?>
<comments xmlns="http://schemas.openxmlformats.org/spreadsheetml/2006/main">
  <authors>
    <author>介子九维 JIEZIJIUWEI</author>
  </authors>
  <commentList>
    <comment ref="C5" authorId="0" shapeId="0">
      <text>
        <t>并网型保留与公共电网的连接，按《关于完善价格机制促进新能源发电就近消纳的通知》（发改价格〔2025〕1192号，2025年9月12日发布）缴纳输配电费、系统运行费等；离网型与公共电网完全物理隔离，免缴上述费用，但供电可靠性需自建储能与备用保障。
目前已落地项目绝大多数为并网型</t>
      </text>
    </comment>
    <comment ref="C6" authorId="0" shapeId="0">
      <text>
        <t>单一容量制为《关于完善价格机制促进新能源发电就近消纳的通知》（发改价格〔2025〕1192号，2025年9月12日发布）的默认方式，按申报接入容量计费，下网电量不再缴系统备用费与输配电量电费；大数据、化工等高可靠性行业可选择保留两部制。
一般项目选单一容量制</t>
      </text>
    </comment>
    <comment ref="C7" authorId="0" shapeId="0">
      <text>
        <t>现行容（需）量电费的计费方式：按变压器容量（元/kVA·月）或按申报最大需量（元/kW·月）计。《关于完善价格机制促进新能源发电就近消纳的通知》（发改价格〔2025〕1192号，2025年9月12日发布）公式中的"现行容（需）量电费"按此方式取数；公式第二项恒按接入容量（kVA）计算。
多数用户按容量计费；需量计费适合负荷率高且平稳的用户</t>
      </text>
    </comment>
    <comment ref="C8" authorId="0" shapeId="0">
      <text>
        <t>政府性基金及附加的计费电量方式。按现行自备电厂政策，自发自用电量亦应缴纳（默认"下网+自用"）；部分地区实践中仅按下网电量随电费征收，请与当地价格主管部门确认。
不确定时保持默认设置</t>
      </text>
    </comment>
    <comment ref="C9" authorId="0" shapeId="0">
      <text>
        <t>公共基础设施项目企业所得税优惠：自取得第一笔生产经营收入年度起，前三年免征、后三年减半。光伏发电项目一般适用。本工具按近似口径处理：优惠只作用于光伏、风电投资对应的份额（按投资占比分摊），储能与专线投资不在优惠目录、不享受优惠；实际适用范围与单独核算要求请与主管税务机关确认。
默认开启</t>
      </text>
    </comment>
    <comment ref="C12" authorId="0" shapeId="0">
      <text>
        <t>选择价区与电压等级，自动带出该档的官方输配电度价、需量与容量电价（按《关于第三监管周期省级电网输配电价及有关事项的通知》（发改价格〔2023〕526号，2023年5月15日发布）核价规则），其余费用参数用示例值兜底，带出后均可逐项修改。
示例：山东 + 110千伏
带出后如需采用其他数值，在同行「覆盖值」栏填写，留空则采用带出值。</t>
      </text>
    </comment>
    <comment ref="C13" authorId="0" shapeId="0">
      <text>
        <t>项目接入公共电网的电压等级。不同电压等级的输配电度价、需量与容量电价不同，等级越高单价越低。选择后自动带出该档官方值。
绿电直连项目常见为110千伏；小型园区10千伏、大型专线220千伏</t>
      </text>
    </comment>
    <comment ref="C14" authorId="0" shapeId="0">
      <text>
        <t>所在电压等级现行输配电价的电量电价部分，用于单一容量制公式或两部制电量电费。
示例：山东110kV为0.1191元/kWh
带出值来自所选价区与电压等级的官方输配电价表；在右侧「覆盖值」栏填写数值可替代带出值。</t>
      </text>
    </comment>
    <comment ref="C15" authorId="0" shapeId="0">
      <text>
        <t>所在电压等级现行两部制需量电价，选择价区与电压等级后自动带出（按《关于第三监管周期省级电网输配电价及有关事项的通知》（发改价格〔2023〕526号，2023年5月15日发布）核价规则）。
示例：山东110kV为35.2元/kW·月
带出值来自所选价区与电压等级的官方输配电价表；在右侧「覆盖值」栏填写数值可替代带出值。</t>
      </text>
    </comment>
    <comment ref="C16" authorId="0" shapeId="0">
      <text>
        <t>现行两部制输配电价中的容量电价（按变压器容量计）。各省第三监管周期输配电价表可查。
示例：山东110kV为22元/kVA·月
带出值来自所选价区与电压等级的官方输配电价表；在右侧「覆盖值」栏填写数值可替代带出值。</t>
      </text>
    </comment>
    <comment ref="C20" authorId="0" shapeId="0">
      <text>
        <t>项目光伏总装机容量（交流侧）。
示例：100 MW（即10万千瓦）</t>
      </text>
    </comment>
    <comment ref="C21" authorId="0" shapeId="0">
      <text>
        <t>光伏年等效利用小时数，按当地太阳能资源与设计值填报。
示例：山东约1100~1300h</t>
      </text>
    </comment>
    <comment ref="C22" authorId="0" shapeId="0">
      <text>
        <t>项目风电装机容量，无风电填0。
示例：0 或 50 MW</t>
      </text>
    </comment>
    <comment ref="C23" authorId="0" shapeId="0">
      <text>
        <t>风电年等效利用小时数，按资源区与机型确定。
示例：2500~3600h</t>
      </text>
    </comment>
    <comment ref="C24" authorId="0" shapeId="0">
      <text>
        <t>储能系统额定功率。储能用于平滑出力、提高自发自用率并降低申报接入容量，本模型中不单独参与电量平衡。
示例：20 MW</t>
      </text>
    </comment>
    <comment ref="C25" authorId="0" shapeId="0">
      <text>
        <t>储能系统额定容量，决定储能投资额。
示例：40 MWh（2小时系统）</t>
      </text>
    </comment>
    <comment ref="C26" authorId="0" shapeId="0">
      <text>
        <t>向电网企业自主申报的接入公共电网容量（受电变压器容量与不经变压器接入的高压电动机容量之和），是《关于完善价格机制促进新能源发电就近消纳的通知》（发改价格〔2025〕1192号，2025年9月12日发布）单一容量制的计费基数。申报越低固定费用越少，但电网备用保障相应减少，这是项目最重要的可控成本变量。
示例：25000 kVA</t>
      </text>
    </comment>
    <comment ref="C27" authorId="0" shapeId="0">
      <text>
        <t>按需量计费时向电网申报的最大需量（或合同确定值）。需量计费下现行容（需）量电费 = 需量电价 × 申报需量 × 12。
示例：20000 kW</t>
      </text>
    </comment>
    <comment ref="C30" authorId="0" shapeId="0">
      <text>
        <t>直连用户全年总用电量。
示例：12000 万kWh（即1.2亿度）</t>
      </text>
    </comment>
    <comment ref="C31" authorId="0" shapeId="0">
      <text>
        <t>新能源发电量中被用户直接消纳的部分。准入要求：不低于总可用发电量的60%，且不低于用户年用电量的30%（2030年起35%）。
示例：9000 万kWh</t>
      </text>
    </comment>
    <comment ref="C32" authorId="0" shapeId="0">
      <text>
        <t>预计无法利用的发电量比例（限电、检修等）。
示例：2%</t>
      </text>
    </comment>
    <comment ref="C33" authorId="0" shapeId="0">
      <text>
        <t>光伏组件年出力衰减率，用于逐年现金流。
示例：0.5%</t>
      </text>
    </comment>
    <comment ref="C36" authorId="0" shapeId="0">
      <text>
        <t>发用双方协商确定的直连电量结算价（含税）。一般介于新能源度电成本与电网到户电价之间，是双方利益分配的核心变量。
示例：0.35 元/kWh</t>
      </text>
    </comment>
    <comment ref="C37" authorId="0" shapeId="0">
      <text>
        <t>从公共电网购电（下网电量）的市场化综合电价（中长期+现货加权，含税，不含单列费用）。《关于完善价格机制促进新能源发电就近消纳的通知》（发改价格〔2025〕1192号，2025年9月12日发布）要求项目下网电量直接参与市场交易，不得由电网企业代理购电。
示例：0.55 元/kWh</t>
      </text>
    </comment>
    <comment ref="C38" authorId="0" shapeId="0">
      <text>
        <t>对照方案：若全部电量由电网供电的综合到户单价（含输配、基金等全部费用），用于计算直连方案的节省额。
示例：0.62 元/kWh</t>
      </text>
    </comment>
    <comment ref="C39" authorId="0" shapeId="0">
      <text>
        <t>余电上网部分按现货市场结算的预期均价。注意：就近消纳项目上网电量不纳入新能源可持续发展价格结算机制，须直接承受现货低价乃至负价。
示例：0.20 元/kWh</t>
      </text>
    </comment>
    <comment ref="C40" authorId="0" shapeId="0">
      <text>
        <t>《关于完善价格机制促进新能源发电就近消纳的通知》（发改价格〔2025〕1192号，2025年9月12日发布）公式参数：暂按所在省份110千伏及以上工商业两部制用户平均水平，由电网企业测算、省级价格主管部门审核后公布；正式公布前可按50%~60%试算。
示例：55%</t>
      </text>
    </comment>
    <comment ref="C41" authorId="0" shapeId="0">
      <text>
        <t>系统运行费单价（辅助服务费用、煤电/抽蓄/气电容量电费等的分摊），按下网电量缴纳，各省按月公布、有波动。
示例：山东约0.0209元/kWh</t>
      </text>
    </comment>
    <comment ref="C42" authorId="0" shapeId="0">
      <text>
        <t>政府性基金及附加单价（国家重大水利工程建设基金、可再生能源电价附加等）。
示例：山东0.02717元/kWh</t>
      </text>
    </comment>
    <comment ref="C43" authorId="0" shapeId="0">
      <text>
        <t>政策性交叉补贴新增损益单价，按下网电量计。注意：本省若已将其并入系统运行费公布，此处填0以免重复计费。
示例：0（山东已并入系统运行费）</t>
      </text>
    </comment>
    <comment ref="C44" authorId="0" shapeId="0">
      <text>
        <t>自发自用绿电环境价值的折算单价（免于外购绿证或规避CBAM类碳成本），在结果中单列展示，不参与到户电价对比。
示例：0.005元/kWh（约合绿证5元/张）</t>
      </text>
    </comment>
    <comment ref="C47" authorId="0" shapeId="0">
      <text>
        <t>光伏电站单位造价（EPC全包范围）。
示例：3.0 元/W</t>
      </text>
    </comment>
    <comment ref="C48" authorId="0" shapeId="0">
      <text>
        <t>风电场单位造价。
示例：4.5 元/W</t>
      </text>
    </comment>
    <comment ref="C49" authorId="0" shapeId="0">
      <text>
        <t>储能系统单位造价（按容量计）。
示例：1.0 元/Wh</t>
      </text>
    </comment>
    <comment ref="C50" authorId="0" shapeId="0">
      <text>
        <t>直连专用线路、升压站及配套设施投资总额。
示例：6000 万元</t>
      </text>
    </comment>
    <comment ref="C51" authorId="0" shapeId="0">
      <text>
        <t>项目资本金占总投资的比例，其余部分按长期贷款测算。
示例：30%</t>
      </text>
    </comment>
    <comment ref="C52" authorId="0" shapeId="0">
      <text>
        <t>长期贷款年利率（等额本息）。行业惯例值，可按企业实际情况修改。
示例：4.5%</t>
      </text>
    </comment>
    <comment ref="C53" authorId="0" shapeId="0">
      <text>
        <t>贷款还款年限。
示例：15 年
贷款年限宜不大于运营期，超出部分的未偿本金将在运营期末一次性扣减资本金现金流。</t>
      </text>
    </comment>
    <comment ref="C54" authorId="0" shapeId="0">
      <text>
        <t>项目运营期（财务评价期）。
示例：25 年
本工作簿现金流表最长支持25年。</t>
      </text>
    </comment>
    <comment ref="C55" authorId="0" shapeId="0">
      <text>
        <t>年运维费用占总投资的比例。行业惯例值，可按企业实际情况修改。
示例：1.2%</t>
      </text>
    </comment>
    <comment ref="C56" authorId="0" shapeId="0">
      <text>
        <t>年保险费占总投资的比例。行业惯例值，可按企业实际情况修改。
示例：0.25%</t>
      </text>
    </comment>
    <comment ref="C57" authorId="0" shapeId="0">
      <text>
        <t>固定资产折旧年限（年限平均法）。行业惯例值，可按企业实际情况修改。
示例：20 年
年折旧额分母恒用税法折旧年限；计提年限不超过运营期，期末未折旧账面净值随余值一并回收。</t>
      </text>
    </comment>
    <comment ref="C58" authorId="0" shapeId="0">
      <text>
        <t>运营期末固定资产残值率。行业惯例值，可按企业实际情况修改。
示例：5%</t>
      </text>
    </comment>
    <comment ref="C59" authorId="0" shapeId="0">
      <text>
        <t>企业所得税税率。
示例：25%
当年应纳税所得额为负时按税法结转以后五个年度弥补。</t>
      </text>
    </comment>
    <comment ref="C60" authorId="0" shapeId="0">
      <text>
        <t>建设投资中可形成增值税进项税抵扣的比例（进项税池 = 总投资 × 该比例，折旧计税基数为总投资扣除进项税池）。设备购置进项税按13%税率抵扣，建筑安装按9%，综合比例取决于分项投资构成，上限为13/113（约11.5%）。示例值待核，请按分项投资估算表核实。
示例：10%</t>
      </text>
    </comment>
    <comment ref="C61" authorId="0" shapeId="0">
      <text>
        <t>财务基准收益率（折现率），用于NPV、动态回收期与LCOE。发电项目现行无官方基准值（《关于调整部分行业建设项目财务基准收益率的通知》（发改投资〔2013〕586号，2013年3月15日印发）仅调整了电网），默认6%为行业惯例值，可按企业实际情况修改，行业可比参照普遍不低于6%。
示例：6%</t>
      </text>
    </comment>
    <comment ref="C62" authorId="0" shapeId="0">
      <text>
        <t>储能电芯预计更换发生的运营年份。
示例：第12年
更换支出当年全额费用化税前扣除，其进项税当年补入抵扣池，现金流出按含税全额；填0或大于运营期表示不发生更换。</t>
      </text>
    </comment>
    <comment ref="C63" authorId="0" shapeId="0">
      <text>
        <t>更换费用占储能初始投资的比例（考虑届时价格下降）。
示例：50%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1</col>
      <colOff>0</colOff>
      <row>7</row>
      <rowOff>0</rowOff>
    </from>
    <ext cx="12024000" cy="3096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24</row>
      <rowOff>0</rowOff>
    </from>
    <ext cx="3528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24</row>
      <rowOff>0</rowOff>
    </from>
    <ext cx="3528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17</col>
      <colOff>0</colOff>
      <row>24</row>
      <rowOff>0</rowOff>
    </from>
    <ext cx="3744000" cy="288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16" customWidth="1" min="2" max="2"/>
  </cols>
  <sheetData>
    <row r="1"/>
    <row r="2">
      <c r="B2" s="1" t="inlineStr">
        <is>
          <t>绿电直连经济测算 v1 · 介子九维 JIEZIJIUWEI</t>
        </is>
      </c>
    </row>
    <row r="3">
      <c r="B3" s="2" t="inlineStr">
        <is>
          <t>使用方法</t>
        </is>
      </c>
    </row>
    <row r="4">
      <c r="B4" s="3" t="inlineStr">
        <is>
          <t>第一步：在「测算」表输入区修改黄底单元格（下拉项从列表选择），其余区域为自动计算。</t>
        </is>
      </c>
    </row>
    <row r="5">
      <c r="B5" s="3" t="inlineStr">
        <is>
          <t>第二步：查看结果区的关键指标、合规判定、构成分析与逐年现金流，全簿公式即时重算。</t>
        </is>
      </c>
    </row>
    <row r="6">
      <c r="B6" s="3" t="inlineStr">
        <is>
          <t>第三步：需要留存比对的方案，将本文件另存副本后再改参数，避免覆盖原方案。</t>
        </is>
      </c>
    </row>
    <row r="7">
      <c r="B7" s="3" t="inlineStr"/>
    </row>
    <row r="8">
      <c r="B8" s="2" t="inlineStr">
        <is>
          <t>测算口径</t>
        </is>
      </c>
    </row>
    <row r="9" ht="60" customHeight="1">
      <c r="B9" s="3" t="inlineStr">
        <is>
          <t>财务评价采用融资前（全投资）与融资后（资本金）双口径现金流；投资按含税全额期初流出，现金流入按含税收入、流出扣实缴增值税，可抵扣进项税通过少缴销项逐年回收；折旧计税基数不含可抵扣进项税，年折旧额分母恒用税法折旧年限，期末回收固定资产余值（残值与未折旧账面净值）；更换性支出当年费用化税前扣除、进项税补入抵扣池；亏损按税法结转以后五个年度弥补，全投资与资本金口径各设独立亏损池；三免三减半优惠按光伏、风电投资占比份额化。</t>
        </is>
      </c>
    </row>
    <row r="10">
      <c r="B10" s="3" t="inlineStr"/>
    </row>
    <row r="11">
      <c r="B11" s="2" t="inlineStr">
        <is>
          <t>版权与使用许可</t>
        </is>
      </c>
    </row>
    <row r="12">
      <c r="B12" s="3" t="inlineStr">
        <is>
          <t>本工具由介子九维（JIEZIJIUWEI）制作并享有著作权。</t>
        </is>
      </c>
    </row>
    <row r="13">
      <c r="B13" s="3" t="inlineStr">
        <is>
          <t>本工具免费提供给个人与企业内部评估使用，欢迎转发分享。</t>
        </is>
      </c>
    </row>
    <row r="14">
      <c r="B14" s="3" t="inlineStr">
        <is>
          <t>转发分享时请保留工具中的署名标识；不得售卖本工具，不得将其作为商业产品的组成部分再分发。</t>
        </is>
      </c>
    </row>
    <row r="15">
      <c r="B15" s="3" t="inlineStr">
        <is>
          <t>最新版本可通过微信公众号「介子九维」获取。</t>
        </is>
      </c>
    </row>
    <row r="16">
      <c r="B16" s="3" t="inlineStr"/>
    </row>
    <row r="17">
      <c r="B17" s="2" t="inlineStr">
        <is>
          <t>边界与免责</t>
        </is>
      </c>
    </row>
    <row r="18" ht="45" customHeight="1">
      <c r="B18" s="4" t="inlineStr">
        <is>
          <t>边界声明：全模型按不变价测算，收入与成本均不作年度价格增长放大；未计入建设期及建设期利息；未计入流动资金及其回收；贷款年限宜不大于运营期，超出部分的未偿本金在运营期末一次性扣减资本金现金流；回收期按累计现金流首次转正的年度线性插值。</t>
        </is>
      </c>
    </row>
    <row r="19">
      <c r="B19" s="4" t="inlineStr">
        <is>
          <t>结果仅供项目前期研判参考，不构成投资建议；正式决策以主管部门批复口径与项目可行性研究为准。</t>
        </is>
      </c>
    </row>
    <row r="20">
      <c r="B20" s="4" t="inlineStr">
        <is>
          <t>预设参数可直接使用，也可按项目实际逐项修改；正式测算前请结合项目实际核实取值。各参数的含义与填报要点见输入区单元格批注。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pageMargins left="0.75" right="0.75" top="1" bottom="1" header="0.5" footer="0.5"/>
  <headerFooter>
    <oddHeader/>
    <oddFooter>&amp;L绿电直连经济测算 v1&amp;R介子九维 JIEZIJIUWEI · 版权所有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V4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7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</cols>
  <sheetData>
    <row r="1" ht="28" customHeight="1">
      <c r="A1" s="5" t="n"/>
      <c r="B1" s="6" t="inlineStr">
        <is>
          <t>绿电直连经济测算 · 总览</t>
        </is>
      </c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7" t="inlineStr">
        <is>
          <t>介子九维 JIEZIJIUWEI</t>
        </is>
      </c>
      <c r="Q1" s="5" t="n"/>
      <c r="R1" s="5" t="n"/>
      <c r="S1" s="5" t="n"/>
      <c r="T1" s="5" t="n"/>
      <c r="U1" s="5" t="n"/>
      <c r="V1" s="5" t="n"/>
    </row>
    <row r="2" ht="13" customHeight="1">
      <c r="A2" s="5" t="n"/>
      <c r="B2" s="8">
        <f>"当前参数下：税后全投资内部收益率 "&amp;TEXT(_z3ewnh,"0.00%")&amp;"，静态回收期 "&amp;TEXT(_z3lcbu,"0.0")&amp;" 年，年节省 "&amp;TEXT(_zmorcm,"#,##0")&amp;" 万元"</f>
        <v/>
      </c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</row>
    <row r="3" ht="6" customHeight="1">
      <c r="A3" s="5" t="n"/>
      <c r="B3" s="5" t="n"/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</row>
    <row r="4" ht="15" customHeight="1">
      <c r="A4" s="5" t="n"/>
      <c r="B4" s="9" t="inlineStr">
        <is>
          <t>全投资内部收益率（税后）</t>
        </is>
      </c>
      <c r="C4" s="10" t="n"/>
      <c r="D4" s="10" t="n"/>
      <c r="E4" s="11" t="n"/>
      <c r="F4" s="9" t="inlineStr">
        <is>
          <t>净现值（税后全投资）</t>
        </is>
      </c>
      <c r="G4" s="10" t="n"/>
      <c r="H4" s="10" t="n"/>
      <c r="I4" s="11" t="n"/>
      <c r="J4" s="9" t="inlineStr">
        <is>
          <t>静态回收期</t>
        </is>
      </c>
      <c r="K4" s="10" t="n"/>
      <c r="L4" s="10" t="n"/>
      <c r="M4" s="11" t="n"/>
      <c r="N4" s="9" t="inlineStr">
        <is>
          <t>度电成本 LCOE</t>
        </is>
      </c>
      <c r="O4" s="10" t="n"/>
      <c r="P4" s="10" t="n"/>
      <c r="Q4" s="11" t="n"/>
      <c r="R4" s="9" t="inlineStr">
        <is>
          <t>年节省额（对照电网购电）</t>
        </is>
      </c>
      <c r="S4" s="10" t="n"/>
      <c r="T4" s="10" t="n"/>
      <c r="U4" s="10" t="n"/>
      <c r="V4" s="5" t="n"/>
    </row>
    <row r="5" ht="34" customHeight="1">
      <c r="A5" s="5" t="n"/>
      <c r="B5" s="12">
        <f>_z3ewnh</f>
        <v/>
      </c>
      <c r="C5" s="5" t="n"/>
      <c r="D5" s="5" t="n"/>
      <c r="E5" s="13" t="n"/>
      <c r="F5" s="14">
        <f>_z8sr6o</f>
        <v/>
      </c>
      <c r="G5" s="5" t="n"/>
      <c r="H5" s="5" t="n"/>
      <c r="I5" s="13" t="n"/>
      <c r="J5" s="15">
        <f>_z3lcbu</f>
        <v/>
      </c>
      <c r="K5" s="5" t="n"/>
      <c r="L5" s="5" t="n"/>
      <c r="M5" s="13" t="n"/>
      <c r="N5" s="16">
        <f>_zehl1m</f>
        <v/>
      </c>
      <c r="O5" s="5" t="n"/>
      <c r="P5" s="5" t="n"/>
      <c r="Q5" s="13" t="n"/>
      <c r="R5" s="14">
        <f>_zmorcm</f>
        <v/>
      </c>
      <c r="S5" s="5" t="n"/>
      <c r="T5" s="5" t="n"/>
      <c r="U5" s="5" t="n"/>
      <c r="V5" s="5" t="n"/>
    </row>
    <row r="6" ht="15" customHeight="1">
      <c r="A6" s="5" t="n"/>
      <c r="B6" s="17" t="inlineStr">
        <is>
          <t>主评价指标</t>
        </is>
      </c>
      <c r="C6" s="18" t="n"/>
      <c r="D6" s="18" t="n"/>
      <c r="E6" s="19" t="n"/>
      <c r="F6" s="17" t="inlineStr">
        <is>
          <t>万元</t>
        </is>
      </c>
      <c r="G6" s="18" t="n"/>
      <c r="H6" s="18" t="n"/>
      <c r="I6" s="19" t="n"/>
      <c r="J6" s="17" t="inlineStr">
        <is>
          <t>年</t>
        </is>
      </c>
      <c r="K6" s="18" t="n"/>
      <c r="L6" s="18" t="n"/>
      <c r="M6" s="19" t="n"/>
      <c r="N6" s="17" t="inlineStr">
        <is>
          <t>元/kWh</t>
        </is>
      </c>
      <c r="O6" s="18" t="n"/>
      <c r="P6" s="18" t="n"/>
      <c r="Q6" s="19" t="n"/>
      <c r="R6" s="17" t="inlineStr">
        <is>
          <t>万元</t>
        </is>
      </c>
      <c r="S6" s="18" t="n"/>
      <c r="T6" s="18" t="n"/>
      <c r="U6" s="18" t="n"/>
      <c r="V6" s="5" t="n"/>
    </row>
    <row r="7" ht="8" customHeight="1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</row>
    <row r="8" ht="15.5" customHeight="1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</row>
    <row r="9" ht="15.5" customHeight="1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</row>
    <row r="10" ht="15.5" customHeight="1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</row>
    <row r="11" ht="15.5" customHeight="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</row>
    <row r="12" ht="15.5" customHeight="1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</row>
    <row r="13" ht="15.5" customHeight="1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</row>
    <row r="14" ht="15.5" customHeight="1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</row>
    <row r="15" ht="15.5" customHeight="1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</row>
    <row r="16" ht="15.5" customHeight="1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</row>
    <row r="17" ht="15.5" customHeight="1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</row>
    <row r="18" ht="15.5" customHeight="1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</row>
    <row r="19" ht="15.5" customHeight="1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</row>
    <row r="20" ht="15.5" customHeight="1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</row>
    <row r="21" ht="15.5" customHeight="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</row>
    <row r="22" ht="15.5" customHeight="1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</row>
    <row r="23" ht="15.5" customHeight="1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</row>
    <row r="24" ht="15.5" customHeight="1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</row>
    <row r="25" ht="15.5" customHeight="1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</row>
    <row r="26" ht="15.5" customHeight="1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</row>
    <row r="27" ht="15.5" customHeight="1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</row>
    <row r="28" ht="15.5" customHeight="1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</row>
    <row r="29" ht="15.5" customHeight="1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</row>
    <row r="30" ht="15.5" customHeight="1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</row>
    <row r="31" ht="15.5" customHeight="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</row>
    <row r="32" ht="15.5" customHeight="1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</row>
    <row r="33" ht="15.5" customHeight="1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</row>
    <row r="34" ht="15.5" customHeight="1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</row>
    <row r="35" ht="15.5" customHeight="1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</row>
    <row r="36" ht="15.5" customHeight="1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</row>
    <row r="37" ht="15.5" customHeight="1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</row>
    <row r="38" ht="15.5" customHeight="1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</row>
    <row r="39" ht="15.5" customHeight="1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</row>
    <row r="40" ht="15.5" customHeight="1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</row>
    <row r="41" ht="16" customHeight="1">
      <c r="A41" s="5" t="n"/>
      <c r="B41" s="20" t="inlineStr">
        <is>
          <t>结果随「测算」表输入即时更新；测算口径与边界声明见「说明」。</t>
        </is>
      </c>
      <c r="C41" s="21" t="n"/>
      <c r="D41" s="21" t="n"/>
      <c r="E41" s="21" t="n"/>
      <c r="F41" s="21" t="n"/>
      <c r="G41" s="21" t="n"/>
      <c r="H41" s="21" t="n"/>
      <c r="I41" s="21" t="n"/>
      <c r="J41" s="21" t="n"/>
      <c r="K41" s="21" t="n"/>
      <c r="L41" s="21" t="n"/>
      <c r="M41" s="21" t="n"/>
      <c r="N41" s="21" t="n"/>
      <c r="O41" s="21" t="n"/>
      <c r="P41" s="22" t="inlineStr">
        <is>
          <t>介子九维 JIEZIJIUWEI</t>
        </is>
      </c>
      <c r="Q41" s="21" t="n"/>
      <c r="R41" s="21" t="n"/>
      <c r="S41" s="21" t="n"/>
      <c r="T41" s="21" t="n"/>
      <c r="U41" s="21" t="n"/>
      <c r="V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mergeCells count="20">
    <mergeCell ref="B41:O41"/>
    <mergeCell ref="B6:E6"/>
    <mergeCell ref="B5:E5"/>
    <mergeCell ref="N6:Q6"/>
    <mergeCell ref="R5:U5"/>
    <mergeCell ref="B4:E4"/>
    <mergeCell ref="F4:I4"/>
    <mergeCell ref="N4:Q4"/>
    <mergeCell ref="B2:U2"/>
    <mergeCell ref="J5:M5"/>
    <mergeCell ref="F6:I6"/>
    <mergeCell ref="B1:O1"/>
    <mergeCell ref="R4:U4"/>
    <mergeCell ref="J6:M6"/>
    <mergeCell ref="F5:I5"/>
    <mergeCell ref="R6:U6"/>
    <mergeCell ref="N5:Q5"/>
    <mergeCell ref="P1:U1"/>
    <mergeCell ref="P41:U41"/>
    <mergeCell ref="J4:M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5"/>
  <sheetViews>
    <sheetView workbookViewId="0">
      <selection activeCell="A1" sqref="A1"/>
    </sheetView>
  </sheetViews>
  <sheetFormatPr baseColWidth="8" defaultRowHeight="15"/>
  <sheetData>
    <row r="1">
      <c r="A1" s="5" t="inlineStr">
        <is>
          <t>省级电网输配电价矩阵（第三监管周期，发改价格〔2023〕526号）</t>
        </is>
      </c>
      <c r="B1" s="5" t="n"/>
      <c r="C1" s="5" t="n"/>
      <c r="D1" s="5" t="n"/>
      <c r="E1" s="5" t="n"/>
      <c r="F1" s="5" t="n"/>
      <c r="G1" s="5" t="n"/>
      <c r="H1" s="5" t="n"/>
    </row>
    <row r="2">
      <c r="A2" s="5" t="inlineStr">
        <is>
          <t>键</t>
        </is>
      </c>
      <c r="B2" s="5" t="inlineStr">
        <is>
          <t>价区</t>
        </is>
      </c>
      <c r="C2" s="5" t="inlineStr">
        <is>
          <t>电压等级</t>
        </is>
      </c>
      <c r="D2" s="5" t="inlineStr">
        <is>
          <t>电度电价</t>
        </is>
      </c>
      <c r="E2" s="5" t="inlineStr">
        <is>
          <t>需量电价</t>
        </is>
      </c>
      <c r="F2" s="5" t="inlineStr">
        <is>
          <t>容量电价</t>
        </is>
      </c>
      <c r="G2" s="5" t="n"/>
      <c r="H2" s="5" t="n"/>
    </row>
    <row r="3">
      <c r="A3" s="5" t="inlineStr">
        <is>
          <t>北京|1~10(20)千伏</t>
        </is>
      </c>
      <c r="B3" s="5" t="inlineStr">
        <is>
          <t>北京</t>
        </is>
      </c>
      <c r="C3" s="5" t="inlineStr">
        <is>
          <t>1~10(20)千伏</t>
        </is>
      </c>
      <c r="D3" s="5" t="n">
        <v>0.2065</v>
      </c>
      <c r="E3" s="5" t="n">
        <v>51</v>
      </c>
      <c r="F3" s="5" t="n">
        <v>32</v>
      </c>
      <c r="G3" s="5" t="n"/>
      <c r="H3" s="5" t="inlineStr">
        <is>
          <t>北京</t>
        </is>
      </c>
    </row>
    <row r="4">
      <c r="A4" s="5" t="inlineStr">
        <is>
          <t>北京|35千伏</t>
        </is>
      </c>
      <c r="B4" s="5" t="inlineStr">
        <is>
          <t>北京</t>
        </is>
      </c>
      <c r="C4" s="5" t="inlineStr">
        <is>
          <t>35千伏</t>
        </is>
      </c>
      <c r="D4" s="5" t="n">
        <v>0.166</v>
      </c>
      <c r="E4" s="5" t="n">
        <v>48</v>
      </c>
      <c r="F4" s="5" t="n">
        <v>30</v>
      </c>
      <c r="G4" s="5" t="n"/>
      <c r="H4" s="5" t="inlineStr">
        <is>
          <t>天津</t>
        </is>
      </c>
    </row>
    <row r="5">
      <c r="A5" s="5" t="inlineStr">
        <is>
          <t>北京|110千伏</t>
        </is>
      </c>
      <c r="B5" s="5" t="inlineStr">
        <is>
          <t>北京</t>
        </is>
      </c>
      <c r="C5" s="5" t="inlineStr">
        <is>
          <t>110千伏</t>
        </is>
      </c>
      <c r="D5" s="5" t="n">
        <v>0.166</v>
      </c>
      <c r="E5" s="5" t="n">
        <v>48</v>
      </c>
      <c r="F5" s="5" t="n">
        <v>30</v>
      </c>
      <c r="G5" s="5" t="n"/>
      <c r="H5" s="5" t="inlineStr">
        <is>
          <t>河北（南网价区）</t>
        </is>
      </c>
    </row>
    <row r="6">
      <c r="A6" s="5" t="inlineStr">
        <is>
          <t>北京|220千伏及以上</t>
        </is>
      </c>
      <c r="B6" s="5" t="inlineStr">
        <is>
          <t>北京</t>
        </is>
      </c>
      <c r="C6" s="5" t="inlineStr">
        <is>
          <t>220千伏及以上</t>
        </is>
      </c>
      <c r="D6" s="5" t="n">
        <v>0.151</v>
      </c>
      <c r="E6" s="5" t="n">
        <v>45</v>
      </c>
      <c r="F6" s="5" t="n">
        <v>28</v>
      </c>
      <c r="G6" s="5" t="n"/>
      <c r="H6" s="5" t="inlineStr">
        <is>
          <t>冀北</t>
        </is>
      </c>
    </row>
    <row r="7">
      <c r="A7" s="5" t="inlineStr">
        <is>
          <t>天津|1~10(20)千伏</t>
        </is>
      </c>
      <c r="B7" s="5" t="inlineStr">
        <is>
          <t>天津</t>
        </is>
      </c>
      <c r="C7" s="5" t="inlineStr">
        <is>
          <t>1~10(20)千伏</t>
        </is>
      </c>
      <c r="D7" s="5" t="n">
        <v>0.1687</v>
      </c>
      <c r="E7" s="5" t="n">
        <v>41.6</v>
      </c>
      <c r="F7" s="5" t="n">
        <v>26</v>
      </c>
      <c r="G7" s="5" t="n"/>
      <c r="H7" s="5" t="inlineStr">
        <is>
          <t>山西</t>
        </is>
      </c>
    </row>
    <row r="8">
      <c r="A8" s="5" t="inlineStr">
        <is>
          <t>天津|35千伏</t>
        </is>
      </c>
      <c r="B8" s="5" t="inlineStr">
        <is>
          <t>天津</t>
        </is>
      </c>
      <c r="C8" s="5" t="inlineStr">
        <is>
          <t>35千伏</t>
        </is>
      </c>
      <c r="D8" s="5" t="n">
        <v>0.1456</v>
      </c>
      <c r="E8" s="5" t="n">
        <v>38.4</v>
      </c>
      <c r="F8" s="5" t="n">
        <v>24</v>
      </c>
      <c r="G8" s="5" t="n"/>
      <c r="H8" s="5" t="inlineStr">
        <is>
          <t>蒙东</t>
        </is>
      </c>
    </row>
    <row r="9">
      <c r="A9" s="5" t="inlineStr">
        <is>
          <t>天津|110千伏</t>
        </is>
      </c>
      <c r="B9" s="5" t="inlineStr">
        <is>
          <t>天津</t>
        </is>
      </c>
      <c r="C9" s="5" t="inlineStr">
        <is>
          <t>110千伏</t>
        </is>
      </c>
      <c r="D9" s="5" t="n">
        <v>0.1316</v>
      </c>
      <c r="E9" s="5" t="n">
        <v>38.4</v>
      </c>
      <c r="F9" s="5" t="n">
        <v>24</v>
      </c>
      <c r="G9" s="5" t="n"/>
      <c r="H9" s="5" t="inlineStr">
        <is>
          <t>蒙西（内蒙古电力）</t>
        </is>
      </c>
    </row>
    <row r="10">
      <c r="A10" s="5" t="inlineStr">
        <is>
          <t>天津|220千伏及以上</t>
        </is>
      </c>
      <c r="B10" s="5" t="inlineStr">
        <is>
          <t>天津</t>
        </is>
      </c>
      <c r="C10" s="5" t="inlineStr">
        <is>
          <t>220千伏及以上</t>
        </is>
      </c>
      <c r="D10" s="5" t="n">
        <v>0.1102</v>
      </c>
      <c r="E10" s="5" t="n">
        <v>35.2</v>
      </c>
      <c r="F10" s="5" t="n">
        <v>22</v>
      </c>
      <c r="G10" s="5" t="n"/>
      <c r="H10" s="5" t="inlineStr">
        <is>
          <t>辽宁</t>
        </is>
      </c>
    </row>
    <row r="11">
      <c r="A11" s="5" t="inlineStr">
        <is>
          <t>河北（南网价区）|1~10(20)千伏</t>
        </is>
      </c>
      <c r="B11" s="5" t="inlineStr">
        <is>
          <t>河北（南网价区）</t>
        </is>
      </c>
      <c r="C11" s="5" t="inlineStr">
        <is>
          <t>1~10(20)千伏</t>
        </is>
      </c>
      <c r="D11" s="5" t="n">
        <v>0.1533</v>
      </c>
      <c r="E11" s="5" t="n">
        <v>35</v>
      </c>
      <c r="F11" s="5" t="n">
        <v>21.9</v>
      </c>
      <c r="G11" s="5" t="n"/>
      <c r="H11" s="5" t="inlineStr">
        <is>
          <t>吉林</t>
        </is>
      </c>
    </row>
    <row r="12">
      <c r="A12" s="5" t="inlineStr">
        <is>
          <t>河北（南网价区）|35千伏</t>
        </is>
      </c>
      <c r="B12" s="5" t="inlineStr">
        <is>
          <t>河北（南网价区）</t>
        </is>
      </c>
      <c r="C12" s="5" t="inlineStr">
        <is>
          <t>35千伏</t>
        </is>
      </c>
      <c r="D12" s="5" t="n">
        <v>0.1333</v>
      </c>
      <c r="E12" s="5" t="n">
        <v>35</v>
      </c>
      <c r="F12" s="5" t="n">
        <v>21.9</v>
      </c>
      <c r="G12" s="5" t="n"/>
      <c r="H12" s="5" t="inlineStr">
        <is>
          <t>黑龙江</t>
        </is>
      </c>
    </row>
    <row r="13">
      <c r="A13" s="5" t="inlineStr">
        <is>
          <t>河北（南网价区）|110千伏</t>
        </is>
      </c>
      <c r="B13" s="5" t="inlineStr">
        <is>
          <t>河北（南网价区）</t>
        </is>
      </c>
      <c r="C13" s="5" t="inlineStr">
        <is>
          <t>110千伏</t>
        </is>
      </c>
      <c r="D13" s="5" t="n">
        <v>0.1133</v>
      </c>
      <c r="E13" s="5" t="n">
        <v>32</v>
      </c>
      <c r="F13" s="5" t="n">
        <v>20</v>
      </c>
      <c r="G13" s="5" t="n"/>
      <c r="H13" s="5" t="inlineStr">
        <is>
          <t>上海</t>
        </is>
      </c>
    </row>
    <row r="14">
      <c r="A14" s="5" t="inlineStr">
        <is>
          <t>河北（南网价区）|220千伏及以上</t>
        </is>
      </c>
      <c r="B14" s="5" t="inlineStr">
        <is>
          <t>河北（南网价区）</t>
        </is>
      </c>
      <c r="C14" s="5" t="inlineStr">
        <is>
          <t>220千伏及以上</t>
        </is>
      </c>
      <c r="D14" s="5" t="n">
        <v>0.09329999999999999</v>
      </c>
      <c r="E14" s="5" t="n">
        <v>32</v>
      </c>
      <c r="F14" s="5" t="n">
        <v>20</v>
      </c>
      <c r="G14" s="5" t="n"/>
      <c r="H14" s="5" t="inlineStr">
        <is>
          <t>江苏</t>
        </is>
      </c>
    </row>
    <row r="15">
      <c r="A15" s="5" t="inlineStr">
        <is>
          <t>冀北|1~10(20)千伏</t>
        </is>
      </c>
      <c r="B15" s="5" t="inlineStr">
        <is>
          <t>冀北</t>
        </is>
      </c>
      <c r="C15" s="5" t="inlineStr">
        <is>
          <t>1~10(20)千伏</t>
        </is>
      </c>
      <c r="D15" s="5" t="n">
        <v>0.1292</v>
      </c>
      <c r="E15" s="5" t="n">
        <v>37.3</v>
      </c>
      <c r="F15" s="5" t="n">
        <v>23.3</v>
      </c>
      <c r="G15" s="5" t="n"/>
      <c r="H15" s="5" t="inlineStr">
        <is>
          <t>浙江</t>
        </is>
      </c>
    </row>
    <row r="16">
      <c r="A16" s="5" t="inlineStr">
        <is>
          <t>冀北|35千伏</t>
        </is>
      </c>
      <c r="B16" s="5" t="inlineStr">
        <is>
          <t>冀北</t>
        </is>
      </c>
      <c r="C16" s="5" t="inlineStr">
        <is>
          <t>35千伏</t>
        </is>
      </c>
      <c r="D16" s="5" t="n">
        <v>0.1132</v>
      </c>
      <c r="E16" s="5" t="n">
        <v>37.3</v>
      </c>
      <c r="F16" s="5" t="n">
        <v>23.3</v>
      </c>
      <c r="G16" s="5" t="n"/>
      <c r="H16" s="5" t="inlineStr">
        <is>
          <t>安徽</t>
        </is>
      </c>
    </row>
    <row r="17">
      <c r="A17" s="5" t="inlineStr">
        <is>
          <t>冀北|110千伏</t>
        </is>
      </c>
      <c r="B17" s="5" t="inlineStr">
        <is>
          <t>冀北</t>
        </is>
      </c>
      <c r="C17" s="5" t="inlineStr">
        <is>
          <t>110千伏</t>
        </is>
      </c>
      <c r="D17" s="5" t="n">
        <v>0.09719999999999999</v>
      </c>
      <c r="E17" s="5" t="n">
        <v>34.6</v>
      </c>
      <c r="F17" s="5" t="n">
        <v>21.6</v>
      </c>
      <c r="G17" s="5" t="n"/>
      <c r="H17" s="5" t="inlineStr">
        <is>
          <t>福建</t>
        </is>
      </c>
    </row>
    <row r="18">
      <c r="A18" s="5" t="inlineStr">
        <is>
          <t>冀北|220千伏及以上</t>
        </is>
      </c>
      <c r="B18" s="5" t="inlineStr">
        <is>
          <t>冀北</t>
        </is>
      </c>
      <c r="C18" s="5" t="inlineStr">
        <is>
          <t>220千伏及以上</t>
        </is>
      </c>
      <c r="D18" s="5" t="n">
        <v>0.0912</v>
      </c>
      <c r="E18" s="5" t="n">
        <v>34.6</v>
      </c>
      <c r="F18" s="5" t="n">
        <v>21.6</v>
      </c>
      <c r="G18" s="5" t="n"/>
      <c r="H18" s="5" t="inlineStr">
        <is>
          <t>江西</t>
        </is>
      </c>
    </row>
    <row r="19">
      <c r="A19" s="5" t="inlineStr">
        <is>
          <t>山西|1~10(20)千伏</t>
        </is>
      </c>
      <c r="B19" s="5" t="inlineStr">
        <is>
          <t>山西</t>
        </is>
      </c>
      <c r="C19" s="5" t="inlineStr">
        <is>
          <t>1~10(20)千伏</t>
        </is>
      </c>
      <c r="D19" s="5" t="n">
        <v>0.104</v>
      </c>
      <c r="E19" s="5" t="n">
        <v>36</v>
      </c>
      <c r="F19" s="5" t="n">
        <v>22.5</v>
      </c>
      <c r="G19" s="5" t="n"/>
      <c r="H19" s="5" t="inlineStr">
        <is>
          <t>山东</t>
        </is>
      </c>
    </row>
    <row r="20">
      <c r="A20" s="5" t="inlineStr">
        <is>
          <t>山西|35千伏</t>
        </is>
      </c>
      <c r="B20" s="5" t="inlineStr">
        <is>
          <t>山西</t>
        </is>
      </c>
      <c r="C20" s="5" t="inlineStr">
        <is>
          <t>35千伏</t>
        </is>
      </c>
      <c r="D20" s="5" t="n">
        <v>0.074</v>
      </c>
      <c r="E20" s="5" t="n">
        <v>36</v>
      </c>
      <c r="F20" s="5" t="n">
        <v>22.5</v>
      </c>
      <c r="G20" s="5" t="n"/>
      <c r="H20" s="5" t="inlineStr">
        <is>
          <t>河南</t>
        </is>
      </c>
    </row>
    <row r="21">
      <c r="A21" s="5" t="inlineStr">
        <is>
          <t>山西|110千伏</t>
        </is>
      </c>
      <c r="B21" s="5" t="inlineStr">
        <is>
          <t>山西</t>
        </is>
      </c>
      <c r="C21" s="5" t="inlineStr">
        <is>
          <t>110千伏</t>
        </is>
      </c>
      <c r="D21" s="5" t="n">
        <v>0.049</v>
      </c>
      <c r="E21" s="5" t="n">
        <v>33.6</v>
      </c>
      <c r="F21" s="5" t="n">
        <v>21</v>
      </c>
      <c r="G21" s="5" t="n"/>
      <c r="H21" s="5" t="inlineStr">
        <is>
          <t>湖北</t>
        </is>
      </c>
    </row>
    <row r="22">
      <c r="A22" s="5" t="inlineStr">
        <is>
          <t>山西|220千伏及以上</t>
        </is>
      </c>
      <c r="B22" s="5" t="inlineStr">
        <is>
          <t>山西</t>
        </is>
      </c>
      <c r="C22" s="5" t="inlineStr">
        <is>
          <t>220千伏及以上</t>
        </is>
      </c>
      <c r="D22" s="5" t="n">
        <v>0.029</v>
      </c>
      <c r="E22" s="5" t="n">
        <v>33.6</v>
      </c>
      <c r="F22" s="5" t="n">
        <v>21</v>
      </c>
      <c r="G22" s="5" t="n"/>
      <c r="H22" s="5" t="inlineStr">
        <is>
          <t>湖南</t>
        </is>
      </c>
    </row>
    <row r="23">
      <c r="A23" s="5" t="inlineStr">
        <is>
          <t>蒙东|1~10(20)千伏</t>
        </is>
      </c>
      <c r="B23" s="5" t="inlineStr">
        <is>
          <t>蒙东</t>
        </is>
      </c>
      <c r="C23" s="5" t="inlineStr">
        <is>
          <t>1~10(20)千伏</t>
        </is>
      </c>
      <c r="D23" s="5" t="n">
        <v>0.1483</v>
      </c>
      <c r="E23" s="5" t="n">
        <v>32.8</v>
      </c>
      <c r="F23" s="5" t="n">
        <v>20.5</v>
      </c>
      <c r="G23" s="5" t="n"/>
      <c r="H23" s="5" t="inlineStr">
        <is>
          <t>广东（不含深圳）</t>
        </is>
      </c>
    </row>
    <row r="24">
      <c r="A24" s="5" t="inlineStr">
        <is>
          <t>蒙东|35千伏</t>
        </is>
      </c>
      <c r="B24" s="5" t="inlineStr">
        <is>
          <t>蒙东</t>
        </is>
      </c>
      <c r="C24" s="5" t="inlineStr">
        <is>
          <t>35千伏</t>
        </is>
      </c>
      <c r="D24" s="5" t="n">
        <v>0.1413</v>
      </c>
      <c r="E24" s="5" t="n">
        <v>32.8</v>
      </c>
      <c r="F24" s="5" t="n">
        <v>20.5</v>
      </c>
      <c r="G24" s="5" t="n"/>
      <c r="H24" s="5" t="inlineStr">
        <is>
          <t>深圳</t>
        </is>
      </c>
    </row>
    <row r="25">
      <c r="A25" s="5" t="inlineStr">
        <is>
          <t>蒙东|110千伏</t>
        </is>
      </c>
      <c r="B25" s="5" t="inlineStr">
        <is>
          <t>蒙东</t>
        </is>
      </c>
      <c r="C25" s="5" t="inlineStr">
        <is>
          <t>110千伏</t>
        </is>
      </c>
      <c r="D25" s="5" t="n">
        <v>0.1019</v>
      </c>
      <c r="E25" s="5" t="n">
        <v>31.2</v>
      </c>
      <c r="F25" s="5" t="n">
        <v>19.5</v>
      </c>
      <c r="G25" s="5" t="n"/>
      <c r="H25" s="5" t="inlineStr">
        <is>
          <t>广西</t>
        </is>
      </c>
    </row>
    <row r="26">
      <c r="A26" s="5" t="inlineStr">
        <is>
          <t>蒙东|220千伏及以上</t>
        </is>
      </c>
      <c r="B26" s="5" t="inlineStr">
        <is>
          <t>蒙东</t>
        </is>
      </c>
      <c r="C26" s="5" t="inlineStr">
        <is>
          <t>220千伏及以上</t>
        </is>
      </c>
      <c r="D26" s="5" t="n">
        <v>0.0789</v>
      </c>
      <c r="E26" s="5" t="n">
        <v>31.2</v>
      </c>
      <c r="F26" s="5" t="n">
        <v>19.5</v>
      </c>
      <c r="G26" s="5" t="n"/>
      <c r="H26" s="5" t="inlineStr">
        <is>
          <t>海南</t>
        </is>
      </c>
    </row>
    <row r="27">
      <c r="A27" s="5" t="inlineStr">
        <is>
          <t>蒙西（内蒙古电力）|1~10(20)千伏</t>
        </is>
      </c>
      <c r="B27" s="5" t="inlineStr">
        <is>
          <t>蒙西（内蒙古电力）</t>
        </is>
      </c>
      <c r="C27" s="5" t="inlineStr">
        <is>
          <t>1~10(20)千伏</t>
        </is>
      </c>
      <c r="D27" s="5" t="n">
        <v>0.0795</v>
      </c>
      <c r="E27" s="5" t="n">
        <v>32.8</v>
      </c>
      <c r="F27" s="5" t="n">
        <v>20.5</v>
      </c>
      <c r="G27" s="5" t="n"/>
      <c r="H27" s="5" t="inlineStr">
        <is>
          <t>重庆</t>
        </is>
      </c>
    </row>
    <row r="28">
      <c r="A28" s="5" t="inlineStr">
        <is>
          <t>蒙西（内蒙古电力）|35千伏</t>
        </is>
      </c>
      <c r="B28" s="5" t="inlineStr">
        <is>
          <t>蒙西（内蒙古电力）</t>
        </is>
      </c>
      <c r="C28" s="5" t="inlineStr">
        <is>
          <t>35千伏</t>
        </is>
      </c>
      <c r="D28" s="5" t="n">
        <v>0.0645</v>
      </c>
      <c r="E28" s="5" t="n">
        <v>32.8</v>
      </c>
      <c r="F28" s="5" t="n">
        <v>20.5</v>
      </c>
      <c r="G28" s="5" t="n"/>
      <c r="H28" s="5" t="inlineStr">
        <is>
          <t>四川</t>
        </is>
      </c>
    </row>
    <row r="29">
      <c r="A29" s="5" t="inlineStr">
        <is>
          <t>蒙西（内蒙古电力）|110千伏</t>
        </is>
      </c>
      <c r="B29" s="5" t="inlineStr">
        <is>
          <t>蒙西（内蒙古电力）</t>
        </is>
      </c>
      <c r="C29" s="5" t="inlineStr">
        <is>
          <t>110千伏</t>
        </is>
      </c>
      <c r="D29" s="5" t="n">
        <v>0.0525</v>
      </c>
      <c r="E29" s="5" t="n">
        <v>31.2</v>
      </c>
      <c r="F29" s="5" t="n">
        <v>19.5</v>
      </c>
      <c r="G29" s="5" t="n"/>
      <c r="H29" s="5" t="inlineStr">
        <is>
          <t>贵州</t>
        </is>
      </c>
    </row>
    <row r="30">
      <c r="A30" s="5" t="inlineStr">
        <is>
          <t>蒙西（内蒙古电力）|220千伏及以上</t>
        </is>
      </c>
      <c r="B30" s="5" t="inlineStr">
        <is>
          <t>蒙西（内蒙古电力）</t>
        </is>
      </c>
      <c r="C30" s="5" t="inlineStr">
        <is>
          <t>220千伏及以上</t>
        </is>
      </c>
      <c r="D30" s="5" t="n">
        <v>0.0455</v>
      </c>
      <c r="E30" s="5" t="n">
        <v>31.2</v>
      </c>
      <c r="F30" s="5" t="n">
        <v>19.5</v>
      </c>
      <c r="G30" s="5" t="n"/>
      <c r="H30" s="5" t="inlineStr">
        <is>
          <t>云南</t>
        </is>
      </c>
    </row>
    <row r="31">
      <c r="A31" s="5" t="inlineStr">
        <is>
          <t>辽宁|1~10(20)千伏</t>
        </is>
      </c>
      <c r="B31" s="5" t="inlineStr">
        <is>
          <t>辽宁</t>
        </is>
      </c>
      <c r="C31" s="5" t="inlineStr">
        <is>
          <t>1~10(20)千伏</t>
        </is>
      </c>
      <c r="D31" s="5" t="n">
        <v>0.1024</v>
      </c>
      <c r="E31" s="5" t="n">
        <v>36.8</v>
      </c>
      <c r="F31" s="5" t="n">
        <v>23</v>
      </c>
      <c r="G31" s="5" t="n"/>
      <c r="H31" s="5" t="inlineStr">
        <is>
          <t>陕西（不含榆林）</t>
        </is>
      </c>
    </row>
    <row r="32">
      <c r="A32" s="5" t="inlineStr">
        <is>
          <t>辽宁|110千伏</t>
        </is>
      </c>
      <c r="B32" s="5" t="inlineStr">
        <is>
          <t>辽宁</t>
        </is>
      </c>
      <c r="C32" s="5" t="inlineStr">
        <is>
          <t>110千伏</t>
        </is>
      </c>
      <c r="D32" s="5" t="n">
        <v>0.0838</v>
      </c>
      <c r="E32" s="5" t="n">
        <v>35.2</v>
      </c>
      <c r="F32" s="5" t="n">
        <v>22</v>
      </c>
      <c r="G32" s="5" t="n"/>
      <c r="H32" s="5" t="inlineStr">
        <is>
          <t>陕西（榆林地区）</t>
        </is>
      </c>
    </row>
    <row r="33">
      <c r="A33" s="5" t="inlineStr">
        <is>
          <t>辽宁|220千伏及以上</t>
        </is>
      </c>
      <c r="B33" s="5" t="inlineStr">
        <is>
          <t>辽宁</t>
        </is>
      </c>
      <c r="C33" s="5" t="inlineStr">
        <is>
          <t>220千伏及以上</t>
        </is>
      </c>
      <c r="D33" s="5" t="n">
        <v>0.0571</v>
      </c>
      <c r="E33" s="5" t="n">
        <v>33.6</v>
      </c>
      <c r="F33" s="5" t="n">
        <v>21</v>
      </c>
      <c r="G33" s="5" t="n"/>
      <c r="H33" s="5" t="inlineStr">
        <is>
          <t>甘肃</t>
        </is>
      </c>
    </row>
    <row r="34">
      <c r="A34" s="5" t="inlineStr">
        <is>
          <t>吉林|1~10(20)千伏</t>
        </is>
      </c>
      <c r="B34" s="5" t="inlineStr">
        <is>
          <t>吉林</t>
        </is>
      </c>
      <c r="C34" s="5" t="inlineStr">
        <is>
          <t>1~10(20)千伏</t>
        </is>
      </c>
      <c r="D34" s="5" t="n">
        <v>0.1497</v>
      </c>
      <c r="E34" s="5" t="n">
        <v>36.8</v>
      </c>
      <c r="F34" s="5" t="n">
        <v>23</v>
      </c>
      <c r="G34" s="5" t="n"/>
      <c r="H34" s="5" t="inlineStr">
        <is>
          <t>青海</t>
        </is>
      </c>
    </row>
    <row r="35">
      <c r="A35" s="5" t="inlineStr">
        <is>
          <t>吉林|110千伏</t>
        </is>
      </c>
      <c r="B35" s="5" t="inlineStr">
        <is>
          <t>吉林</t>
        </is>
      </c>
      <c r="C35" s="5" t="inlineStr">
        <is>
          <t>110千伏</t>
        </is>
      </c>
      <c r="D35" s="5" t="n">
        <v>0.1197</v>
      </c>
      <c r="E35" s="5" t="n">
        <v>35.2</v>
      </c>
      <c r="F35" s="5" t="n">
        <v>22</v>
      </c>
      <c r="G35" s="5" t="n"/>
      <c r="H35" s="5" t="inlineStr">
        <is>
          <t>宁夏</t>
        </is>
      </c>
    </row>
    <row r="36">
      <c r="A36" s="5" t="inlineStr">
        <is>
          <t>吉林|220千伏及以上</t>
        </is>
      </c>
      <c r="B36" s="5" t="inlineStr">
        <is>
          <t>吉林</t>
        </is>
      </c>
      <c r="C36" s="5" t="inlineStr">
        <is>
          <t>220千伏及以上</t>
        </is>
      </c>
      <c r="D36" s="5" t="n">
        <v>0.1097</v>
      </c>
      <c r="E36" s="5" t="n">
        <v>35.2</v>
      </c>
      <c r="F36" s="5" t="n">
        <v>22</v>
      </c>
      <c r="G36" s="5" t="n"/>
      <c r="H36" s="5" t="inlineStr">
        <is>
          <t>新疆</t>
        </is>
      </c>
    </row>
    <row r="37">
      <c r="A37" s="5" t="inlineStr">
        <is>
          <t>黑龙江|1~10(20)千伏</t>
        </is>
      </c>
      <c r="B37" s="5" t="inlineStr">
        <is>
          <t>黑龙江</t>
        </is>
      </c>
      <c r="C37" s="5" t="inlineStr">
        <is>
          <t>1~10(20)千伏</t>
        </is>
      </c>
      <c r="D37" s="5" t="n">
        <v>0.1358</v>
      </c>
      <c r="E37" s="5" t="n">
        <v>36.8</v>
      </c>
      <c r="F37" s="5" t="n">
        <v>23</v>
      </c>
      <c r="G37" s="5" t="n"/>
      <c r="H37" s="5" t="n"/>
    </row>
    <row r="38">
      <c r="A38" s="5" t="inlineStr">
        <is>
          <t>黑龙江|35千伏</t>
        </is>
      </c>
      <c r="B38" s="5" t="inlineStr">
        <is>
          <t>黑龙江</t>
        </is>
      </c>
      <c r="C38" s="5" t="inlineStr">
        <is>
          <t>35千伏</t>
        </is>
      </c>
      <c r="D38" s="5" t="n">
        <v>0.1144</v>
      </c>
      <c r="E38" s="5" t="n">
        <v>36.8</v>
      </c>
      <c r="F38" s="5" t="n">
        <v>23</v>
      </c>
      <c r="G38" s="5" t="n"/>
      <c r="H38" s="5" t="n"/>
    </row>
    <row r="39">
      <c r="A39" s="5" t="inlineStr">
        <is>
          <t>黑龙江|110千伏</t>
        </is>
      </c>
      <c r="B39" s="5" t="inlineStr">
        <is>
          <t>黑龙江</t>
        </is>
      </c>
      <c r="C39" s="5" t="inlineStr">
        <is>
          <t>110千伏</t>
        </is>
      </c>
      <c r="D39" s="5" t="n">
        <v>0.1016</v>
      </c>
      <c r="E39" s="5" t="n">
        <v>35.2</v>
      </c>
      <c r="F39" s="5" t="n">
        <v>22</v>
      </c>
      <c r="G39" s="5" t="n"/>
      <c r="H39" s="5" t="n"/>
    </row>
    <row r="40">
      <c r="A40" s="5" t="inlineStr">
        <is>
          <t>黑龙江|220千伏及以上</t>
        </is>
      </c>
      <c r="B40" s="5" t="inlineStr">
        <is>
          <t>黑龙江</t>
        </is>
      </c>
      <c r="C40" s="5" t="inlineStr">
        <is>
          <t>220千伏及以上</t>
        </is>
      </c>
      <c r="D40" s="5" t="n">
        <v>0.07530000000000001</v>
      </c>
      <c r="E40" s="5" t="n">
        <v>35.2</v>
      </c>
      <c r="F40" s="5" t="n">
        <v>22</v>
      </c>
      <c r="G40" s="5" t="n"/>
      <c r="H40" s="5" t="n"/>
    </row>
    <row r="41">
      <c r="A41" s="5" t="inlineStr">
        <is>
          <t>上海|1~10(20)千伏</t>
        </is>
      </c>
      <c r="B41" s="5" t="inlineStr">
        <is>
          <t>上海</t>
        </is>
      </c>
      <c r="C41" s="5" t="inlineStr">
        <is>
          <t>1~10(20)千伏</t>
        </is>
      </c>
      <c r="D41" s="5" t="n">
        <v>0.2039</v>
      </c>
      <c r="E41" s="5" t="n">
        <v>40.8</v>
      </c>
      <c r="F41" s="5" t="n">
        <v>25.5</v>
      </c>
      <c r="G41" s="5" t="n"/>
      <c r="H41" s="5" t="n"/>
    </row>
    <row r="42">
      <c r="A42" s="5" t="inlineStr">
        <is>
          <t>上海|35千伏</t>
        </is>
      </c>
      <c r="B42" s="5" t="inlineStr">
        <is>
          <t>上海</t>
        </is>
      </c>
      <c r="C42" s="5" t="inlineStr">
        <is>
          <t>35千伏</t>
        </is>
      </c>
      <c r="D42" s="5" t="n">
        <v>0.1547</v>
      </c>
      <c r="E42" s="5" t="n">
        <v>40.8</v>
      </c>
      <c r="F42" s="5" t="n">
        <v>25.5</v>
      </c>
      <c r="G42" s="5" t="n"/>
      <c r="H42" s="5" t="n"/>
    </row>
    <row r="43">
      <c r="A43" s="5" t="inlineStr">
        <is>
          <t>上海|110千伏</t>
        </is>
      </c>
      <c r="B43" s="5" t="inlineStr">
        <is>
          <t>上海</t>
        </is>
      </c>
      <c r="C43" s="5" t="inlineStr">
        <is>
          <t>110千伏</t>
        </is>
      </c>
      <c r="D43" s="5" t="n">
        <v>0.1251</v>
      </c>
      <c r="E43" s="5" t="n">
        <v>38.4</v>
      </c>
      <c r="F43" s="5" t="n">
        <v>24</v>
      </c>
      <c r="G43" s="5" t="n"/>
      <c r="H43" s="5" t="n"/>
    </row>
    <row r="44">
      <c r="A44" s="5" t="inlineStr">
        <is>
          <t>上海|220千伏及以上</t>
        </is>
      </c>
      <c r="B44" s="5" t="inlineStr">
        <is>
          <t>上海</t>
        </is>
      </c>
      <c r="C44" s="5" t="inlineStr">
        <is>
          <t>220千伏及以上</t>
        </is>
      </c>
      <c r="D44" s="5" t="n">
        <v>0.1127</v>
      </c>
      <c r="E44" s="5" t="n">
        <v>38.4</v>
      </c>
      <c r="F44" s="5" t="n">
        <v>24</v>
      </c>
      <c r="G44" s="5" t="n"/>
      <c r="H44" s="5" t="n"/>
    </row>
    <row r="45">
      <c r="A45" s="5" t="inlineStr">
        <is>
          <t>江苏|1~10(20)千伏</t>
        </is>
      </c>
      <c r="B45" s="5" t="inlineStr">
        <is>
          <t>江苏</t>
        </is>
      </c>
      <c r="C45" s="5" t="inlineStr">
        <is>
          <t>1~10(20)千伏</t>
        </is>
      </c>
      <c r="D45" s="5" t="n">
        <v>0.1357</v>
      </c>
      <c r="E45" s="5" t="n">
        <v>51.2</v>
      </c>
      <c r="F45" s="5" t="n">
        <v>32</v>
      </c>
      <c r="G45" s="5" t="n"/>
      <c r="H45" s="5" t="n"/>
    </row>
    <row r="46">
      <c r="A46" s="5" t="inlineStr">
        <is>
          <t>江苏|35千伏</t>
        </is>
      </c>
      <c r="B46" s="5" t="inlineStr">
        <is>
          <t>江苏</t>
        </is>
      </c>
      <c r="C46" s="5" t="inlineStr">
        <is>
          <t>35千伏</t>
        </is>
      </c>
      <c r="D46" s="5" t="n">
        <v>0.1107</v>
      </c>
      <c r="E46" s="5" t="n">
        <v>48</v>
      </c>
      <c r="F46" s="5" t="n">
        <v>30</v>
      </c>
      <c r="G46" s="5" t="n"/>
      <c r="H46" s="5" t="n"/>
    </row>
    <row r="47">
      <c r="A47" s="5" t="inlineStr">
        <is>
          <t>江苏|110千伏</t>
        </is>
      </c>
      <c r="B47" s="5" t="inlineStr">
        <is>
          <t>江苏</t>
        </is>
      </c>
      <c r="C47" s="5" t="inlineStr">
        <is>
          <t>110千伏</t>
        </is>
      </c>
      <c r="D47" s="5" t="n">
        <v>0.0857</v>
      </c>
      <c r="E47" s="5" t="n">
        <v>44.8</v>
      </c>
      <c r="F47" s="5" t="n">
        <v>28</v>
      </c>
      <c r="G47" s="5" t="n"/>
      <c r="H47" s="5" t="n"/>
    </row>
    <row r="48">
      <c r="A48" s="5" t="inlineStr">
        <is>
          <t>江苏|220千伏及以上</t>
        </is>
      </c>
      <c r="B48" s="5" t="inlineStr">
        <is>
          <t>江苏</t>
        </is>
      </c>
      <c r="C48" s="5" t="inlineStr">
        <is>
          <t>220千伏及以上</t>
        </is>
      </c>
      <c r="D48" s="5" t="n">
        <v>0.0597</v>
      </c>
      <c r="E48" s="5" t="n">
        <v>41.6</v>
      </c>
      <c r="F48" s="5" t="n">
        <v>26</v>
      </c>
      <c r="G48" s="5" t="n"/>
      <c r="H48" s="5" t="n"/>
    </row>
    <row r="49">
      <c r="A49" s="5" t="inlineStr">
        <is>
          <t>浙江|1~10(20)千伏</t>
        </is>
      </c>
      <c r="B49" s="5" t="inlineStr">
        <is>
          <t>浙江</t>
        </is>
      </c>
      <c r="C49" s="5" t="inlineStr">
        <is>
          <t>1~10(20)千伏</t>
        </is>
      </c>
      <c r="D49" s="5" t="n">
        <v>0.126</v>
      </c>
      <c r="E49" s="5" t="n">
        <v>48</v>
      </c>
      <c r="F49" s="5" t="n">
        <v>30</v>
      </c>
      <c r="G49" s="5" t="n"/>
      <c r="H49" s="5" t="n"/>
    </row>
    <row r="50">
      <c r="A50" s="5" t="inlineStr">
        <is>
          <t>浙江|35千伏</t>
        </is>
      </c>
      <c r="B50" s="5" t="inlineStr">
        <is>
          <t>浙江</t>
        </is>
      </c>
      <c r="C50" s="5" t="inlineStr">
        <is>
          <t>35千伏</t>
        </is>
      </c>
      <c r="D50" s="5" t="n">
        <v>0.0955</v>
      </c>
      <c r="E50" s="5" t="n">
        <v>44.8</v>
      </c>
      <c r="F50" s="5" t="n">
        <v>28</v>
      </c>
      <c r="G50" s="5" t="n"/>
      <c r="H50" s="5" t="n"/>
    </row>
    <row r="51">
      <c r="A51" s="5" t="inlineStr">
        <is>
          <t>浙江|110千伏</t>
        </is>
      </c>
      <c r="B51" s="5" t="inlineStr">
        <is>
          <t>浙江</t>
        </is>
      </c>
      <c r="C51" s="5" t="inlineStr">
        <is>
          <t>110千伏</t>
        </is>
      </c>
      <c r="D51" s="5" t="n">
        <v>0.0791</v>
      </c>
      <c r="E51" s="5" t="n">
        <v>41.6</v>
      </c>
      <c r="F51" s="5" t="n">
        <v>26</v>
      </c>
      <c r="G51" s="5" t="n"/>
      <c r="H51" s="5" t="n"/>
    </row>
    <row r="52">
      <c r="A52" s="5" t="inlineStr">
        <is>
          <t>浙江|220千伏及以上</t>
        </is>
      </c>
      <c r="B52" s="5" t="inlineStr">
        <is>
          <t>浙江</t>
        </is>
      </c>
      <c r="C52" s="5" t="inlineStr">
        <is>
          <t>220千伏及以上</t>
        </is>
      </c>
      <c r="D52" s="5" t="n">
        <v>0.0688</v>
      </c>
      <c r="E52" s="5" t="n">
        <v>38.3</v>
      </c>
      <c r="F52" s="5" t="n">
        <v>24</v>
      </c>
      <c r="G52" s="5" t="n"/>
      <c r="H52" s="5" t="n"/>
    </row>
    <row r="53">
      <c r="A53" s="5" t="inlineStr">
        <is>
          <t>安徽|1~10(20)千伏</t>
        </is>
      </c>
      <c r="B53" s="5" t="inlineStr">
        <is>
          <t>安徽</t>
        </is>
      </c>
      <c r="C53" s="5" t="inlineStr">
        <is>
          <t>1~10(20)千伏</t>
        </is>
      </c>
      <c r="D53" s="5" t="n">
        <v>0.1428</v>
      </c>
      <c r="E53" s="5" t="n">
        <v>48</v>
      </c>
      <c r="F53" s="5" t="n">
        <v>30</v>
      </c>
      <c r="G53" s="5" t="n"/>
      <c r="H53" s="5" t="n"/>
    </row>
    <row r="54">
      <c r="A54" s="5" t="inlineStr">
        <is>
          <t>安徽|35千伏</t>
        </is>
      </c>
      <c r="B54" s="5" t="inlineStr">
        <is>
          <t>安徽</t>
        </is>
      </c>
      <c r="C54" s="5" t="inlineStr">
        <is>
          <t>35千伏</t>
        </is>
      </c>
      <c r="D54" s="5" t="n">
        <v>0.1175</v>
      </c>
      <c r="E54" s="5" t="n">
        <v>45.6</v>
      </c>
      <c r="F54" s="5" t="n">
        <v>28.5</v>
      </c>
      <c r="G54" s="5" t="n"/>
      <c r="H54" s="5" t="n"/>
    </row>
    <row r="55">
      <c r="A55" s="5" t="inlineStr">
        <is>
          <t>安徽|110千伏</t>
        </is>
      </c>
      <c r="B55" s="5" t="inlineStr">
        <is>
          <t>安徽</t>
        </is>
      </c>
      <c r="C55" s="5" t="inlineStr">
        <is>
          <t>110千伏</t>
        </is>
      </c>
      <c r="D55" s="5" t="n">
        <v>0.0924</v>
      </c>
      <c r="E55" s="5" t="n">
        <v>44</v>
      </c>
      <c r="F55" s="5" t="n">
        <v>27.5</v>
      </c>
      <c r="G55" s="5" t="n"/>
      <c r="H55" s="5" t="n"/>
    </row>
    <row r="56">
      <c r="A56" s="5" t="inlineStr">
        <is>
          <t>安徽|220千伏及以上</t>
        </is>
      </c>
      <c r="B56" s="5" t="inlineStr">
        <is>
          <t>安徽</t>
        </is>
      </c>
      <c r="C56" s="5" t="inlineStr">
        <is>
          <t>220千伏及以上</t>
        </is>
      </c>
      <c r="D56" s="5" t="n">
        <v>0.0673</v>
      </c>
      <c r="E56" s="5" t="n">
        <v>40.8</v>
      </c>
      <c r="F56" s="5" t="n">
        <v>25.5</v>
      </c>
      <c r="G56" s="5" t="n"/>
      <c r="H56" s="5" t="n"/>
    </row>
    <row r="57">
      <c r="A57" s="5" t="inlineStr">
        <is>
          <t>福建|1~10(20)千伏</t>
        </is>
      </c>
      <c r="B57" s="5" t="inlineStr">
        <is>
          <t>福建</t>
        </is>
      </c>
      <c r="C57" s="5" t="inlineStr">
        <is>
          <t>1~10(20)千伏</t>
        </is>
      </c>
      <c r="D57" s="5" t="n">
        <v>0.1292</v>
      </c>
      <c r="E57" s="5" t="n">
        <v>40</v>
      </c>
      <c r="F57" s="5" t="n">
        <v>25</v>
      </c>
      <c r="G57" s="5" t="n"/>
      <c r="H57" s="5" t="n"/>
    </row>
    <row r="58">
      <c r="A58" s="5" t="inlineStr">
        <is>
          <t>福建|35千伏</t>
        </is>
      </c>
      <c r="B58" s="5" t="inlineStr">
        <is>
          <t>福建</t>
        </is>
      </c>
      <c r="C58" s="5" t="inlineStr">
        <is>
          <t>35千伏</t>
        </is>
      </c>
      <c r="D58" s="5" t="n">
        <v>0.1092</v>
      </c>
      <c r="E58" s="5" t="n">
        <v>39</v>
      </c>
      <c r="F58" s="5" t="n">
        <v>24.4</v>
      </c>
      <c r="G58" s="5" t="n"/>
      <c r="H58" s="5" t="n"/>
    </row>
    <row r="59">
      <c r="A59" s="5" t="inlineStr">
        <is>
          <t>福建|110千伏</t>
        </is>
      </c>
      <c r="B59" s="5" t="inlineStr">
        <is>
          <t>福建</t>
        </is>
      </c>
      <c r="C59" s="5" t="inlineStr">
        <is>
          <t>110千伏</t>
        </is>
      </c>
      <c r="D59" s="5" t="n">
        <v>0.0842</v>
      </c>
      <c r="E59" s="5" t="n">
        <v>38</v>
      </c>
      <c r="F59" s="5" t="n">
        <v>23.8</v>
      </c>
      <c r="G59" s="5" t="n"/>
      <c r="H59" s="5" t="n"/>
    </row>
    <row r="60">
      <c r="A60" s="5" t="inlineStr">
        <is>
          <t>福建|220千伏及以上</t>
        </is>
      </c>
      <c r="B60" s="5" t="inlineStr">
        <is>
          <t>福建</t>
        </is>
      </c>
      <c r="C60" s="5" t="inlineStr">
        <is>
          <t>220千伏及以上</t>
        </is>
      </c>
      <c r="D60" s="5" t="n">
        <v>0.0592</v>
      </c>
      <c r="E60" s="5" t="n">
        <v>37</v>
      </c>
      <c r="F60" s="5" t="n">
        <v>23.1</v>
      </c>
      <c r="G60" s="5" t="n"/>
      <c r="H60" s="5" t="n"/>
    </row>
    <row r="61">
      <c r="A61" s="5" t="inlineStr">
        <is>
          <t>江西|1~10(20)千伏</t>
        </is>
      </c>
      <c r="B61" s="5" t="inlineStr">
        <is>
          <t>江西</t>
        </is>
      </c>
      <c r="C61" s="5" t="inlineStr">
        <is>
          <t>1~10(20)千伏</t>
        </is>
      </c>
      <c r="D61" s="5" t="n">
        <v>0.1505</v>
      </c>
      <c r="E61" s="5" t="n">
        <v>42.3</v>
      </c>
      <c r="F61" s="5" t="n">
        <v>26.4</v>
      </c>
      <c r="G61" s="5" t="n"/>
      <c r="H61" s="5" t="n"/>
    </row>
    <row r="62">
      <c r="A62" s="5" t="inlineStr">
        <is>
          <t>江西|35千伏</t>
        </is>
      </c>
      <c r="B62" s="5" t="inlineStr">
        <is>
          <t>江西</t>
        </is>
      </c>
      <c r="C62" s="5" t="inlineStr">
        <is>
          <t>35千伏</t>
        </is>
      </c>
      <c r="D62" s="5" t="n">
        <v>0.1355</v>
      </c>
      <c r="E62" s="5" t="n">
        <v>40.6</v>
      </c>
      <c r="F62" s="5" t="n">
        <v>25.4</v>
      </c>
      <c r="G62" s="5" t="n"/>
      <c r="H62" s="5" t="n"/>
    </row>
    <row r="63">
      <c r="A63" s="5" t="inlineStr">
        <is>
          <t>江西|110千伏</t>
        </is>
      </c>
      <c r="B63" s="5" t="inlineStr">
        <is>
          <t>江西</t>
        </is>
      </c>
      <c r="C63" s="5" t="inlineStr">
        <is>
          <t>110千伏</t>
        </is>
      </c>
      <c r="D63" s="5" t="n">
        <v>0.1205</v>
      </c>
      <c r="E63" s="5" t="n">
        <v>39.1</v>
      </c>
      <c r="F63" s="5" t="n">
        <v>24.4</v>
      </c>
      <c r="G63" s="5" t="n"/>
      <c r="H63" s="5" t="n"/>
    </row>
    <row r="64">
      <c r="A64" s="5" t="inlineStr">
        <is>
          <t>江西|220千伏及以上</t>
        </is>
      </c>
      <c r="B64" s="5" t="inlineStr">
        <is>
          <t>江西</t>
        </is>
      </c>
      <c r="C64" s="5" t="inlineStr">
        <is>
          <t>220千伏及以上</t>
        </is>
      </c>
      <c r="D64" s="5" t="n">
        <v>0.1105</v>
      </c>
      <c r="E64" s="5" t="n">
        <v>37.5</v>
      </c>
      <c r="F64" s="5" t="n">
        <v>23.4</v>
      </c>
      <c r="G64" s="5" t="n"/>
      <c r="H64" s="5" t="n"/>
    </row>
    <row r="65">
      <c r="A65" s="5" t="inlineStr">
        <is>
          <t>山东|1~10(20)千伏</t>
        </is>
      </c>
      <c r="B65" s="5" t="inlineStr">
        <is>
          <t>山东</t>
        </is>
      </c>
      <c r="C65" s="5" t="inlineStr">
        <is>
          <t>1~10(20)千伏</t>
        </is>
      </c>
      <c r="D65" s="5" t="n">
        <v>0.1491</v>
      </c>
      <c r="E65" s="5" t="n">
        <v>38.4</v>
      </c>
      <c r="F65" s="5" t="n">
        <v>24</v>
      </c>
      <c r="G65" s="5" t="n"/>
      <c r="H65" s="5" t="n"/>
    </row>
    <row r="66">
      <c r="A66" s="5" t="inlineStr">
        <is>
          <t>山东|35千伏</t>
        </is>
      </c>
      <c r="B66" s="5" t="inlineStr">
        <is>
          <t>山东</t>
        </is>
      </c>
      <c r="C66" s="5" t="inlineStr">
        <is>
          <t>35千伏</t>
        </is>
      </c>
      <c r="D66" s="5" t="n">
        <v>0.1341</v>
      </c>
      <c r="E66" s="5" t="n">
        <v>35.2</v>
      </c>
      <c r="F66" s="5" t="n">
        <v>22</v>
      </c>
      <c r="G66" s="5" t="n"/>
      <c r="H66" s="5" t="n"/>
    </row>
    <row r="67">
      <c r="A67" s="5" t="inlineStr">
        <is>
          <t>山东|110千伏</t>
        </is>
      </c>
      <c r="B67" s="5" t="inlineStr">
        <is>
          <t>山东</t>
        </is>
      </c>
      <c r="C67" s="5" t="inlineStr">
        <is>
          <t>110千伏</t>
        </is>
      </c>
      <c r="D67" s="5" t="n">
        <v>0.1191</v>
      </c>
      <c r="E67" s="5" t="n">
        <v>35.2</v>
      </c>
      <c r="F67" s="5" t="n">
        <v>22</v>
      </c>
      <c r="G67" s="5" t="n"/>
      <c r="H67" s="5" t="n"/>
    </row>
    <row r="68">
      <c r="A68" s="5" t="inlineStr">
        <is>
          <t>山东|220千伏及以上</t>
        </is>
      </c>
      <c r="B68" s="5" t="inlineStr">
        <is>
          <t>山东</t>
        </is>
      </c>
      <c r="C68" s="5" t="inlineStr">
        <is>
          <t>220千伏及以上</t>
        </is>
      </c>
      <c r="D68" s="5" t="n">
        <v>0.1041</v>
      </c>
      <c r="E68" s="5" t="n">
        <v>32</v>
      </c>
      <c r="F68" s="5" t="n">
        <v>20</v>
      </c>
      <c r="G68" s="5" t="n"/>
      <c r="H68" s="5" t="n"/>
    </row>
    <row r="69">
      <c r="A69" s="5" t="inlineStr">
        <is>
          <t>河南|1~10(20)千伏</t>
        </is>
      </c>
      <c r="B69" s="5" t="inlineStr">
        <is>
          <t>河南</t>
        </is>
      </c>
      <c r="C69" s="5" t="inlineStr">
        <is>
          <t>1~10(20)千伏</t>
        </is>
      </c>
      <c r="D69" s="5" t="n">
        <v>0.168</v>
      </c>
      <c r="E69" s="5" t="n">
        <v>40</v>
      </c>
      <c r="F69" s="5" t="n">
        <v>25</v>
      </c>
      <c r="G69" s="5" t="n"/>
      <c r="H69" s="5" t="n"/>
    </row>
    <row r="70">
      <c r="A70" s="5" t="inlineStr">
        <is>
          <t>河南|35千伏</t>
        </is>
      </c>
      <c r="B70" s="5" t="inlineStr">
        <is>
          <t>河南</t>
        </is>
      </c>
      <c r="C70" s="5" t="inlineStr">
        <is>
          <t>35千伏</t>
        </is>
      </c>
      <c r="D70" s="5" t="n">
        <v>0.1456</v>
      </c>
      <c r="E70" s="5" t="n">
        <v>36.9</v>
      </c>
      <c r="F70" s="5" t="n">
        <v>23</v>
      </c>
      <c r="G70" s="5" t="n"/>
      <c r="H70" s="5" t="n"/>
    </row>
    <row r="71">
      <c r="A71" s="5" t="inlineStr">
        <is>
          <t>河南|110千伏</t>
        </is>
      </c>
      <c r="B71" s="5" t="inlineStr">
        <is>
          <t>河南</t>
        </is>
      </c>
      <c r="C71" s="5" t="inlineStr">
        <is>
          <t>110千伏</t>
        </is>
      </c>
      <c r="D71" s="5" t="n">
        <v>0.121</v>
      </c>
      <c r="E71" s="5" t="n">
        <v>33.7</v>
      </c>
      <c r="F71" s="5" t="n">
        <v>21</v>
      </c>
      <c r="G71" s="5" t="n"/>
      <c r="H71" s="5" t="n"/>
    </row>
    <row r="72">
      <c r="A72" s="5" t="inlineStr">
        <is>
          <t>河南|220千伏及以上</t>
        </is>
      </c>
      <c r="B72" s="5" t="inlineStr">
        <is>
          <t>河南</t>
        </is>
      </c>
      <c r="C72" s="5" t="inlineStr">
        <is>
          <t>220千伏及以上</t>
        </is>
      </c>
      <c r="D72" s="5" t="n">
        <v>0.103</v>
      </c>
      <c r="E72" s="5" t="n">
        <v>30.5</v>
      </c>
      <c r="F72" s="5" t="n">
        <v>19</v>
      </c>
      <c r="G72" s="5" t="n"/>
      <c r="H72" s="5" t="n"/>
    </row>
    <row r="73">
      <c r="A73" s="5" t="inlineStr">
        <is>
          <t>湖北|1~10(20)千伏</t>
        </is>
      </c>
      <c r="B73" s="5" t="inlineStr">
        <is>
          <t>湖北</t>
        </is>
      </c>
      <c r="C73" s="5" t="inlineStr">
        <is>
          <t>1~10(20)千伏</t>
        </is>
      </c>
      <c r="D73" s="5" t="n">
        <v>0.1263</v>
      </c>
      <c r="E73" s="5" t="n">
        <v>42</v>
      </c>
      <c r="F73" s="5" t="n">
        <v>26.3</v>
      </c>
      <c r="G73" s="5" t="n"/>
      <c r="H73" s="5" t="n"/>
    </row>
    <row r="74">
      <c r="A74" s="5" t="inlineStr">
        <is>
          <t>湖北|35千伏</t>
        </is>
      </c>
      <c r="B74" s="5" t="inlineStr">
        <is>
          <t>湖北</t>
        </is>
      </c>
      <c r="C74" s="5" t="inlineStr">
        <is>
          <t>35千伏</t>
        </is>
      </c>
      <c r="D74" s="5" t="n">
        <v>0.1065</v>
      </c>
      <c r="E74" s="5" t="n">
        <v>42</v>
      </c>
      <c r="F74" s="5" t="n">
        <v>26.3</v>
      </c>
      <c r="G74" s="5" t="n"/>
      <c r="H74" s="5" t="n"/>
    </row>
    <row r="75">
      <c r="A75" s="5" t="inlineStr">
        <is>
          <t>湖北|110千伏</t>
        </is>
      </c>
      <c r="B75" s="5" t="inlineStr">
        <is>
          <t>湖北</t>
        </is>
      </c>
      <c r="C75" s="5" t="inlineStr">
        <is>
          <t>110千伏</t>
        </is>
      </c>
      <c r="D75" s="5" t="n">
        <v>0.08840000000000001</v>
      </c>
      <c r="E75" s="5" t="n">
        <v>39</v>
      </c>
      <c r="F75" s="5" t="n">
        <v>24.4</v>
      </c>
      <c r="G75" s="5" t="n"/>
      <c r="H75" s="5" t="n"/>
    </row>
    <row r="76">
      <c r="A76" s="5" t="inlineStr">
        <is>
          <t>湖北|220千伏及以上</t>
        </is>
      </c>
      <c r="B76" s="5" t="inlineStr">
        <is>
          <t>湖北</t>
        </is>
      </c>
      <c r="C76" s="5" t="inlineStr">
        <is>
          <t>220千伏及以上</t>
        </is>
      </c>
      <c r="D76" s="5" t="n">
        <v>0.0694</v>
      </c>
      <c r="E76" s="5" t="n">
        <v>39</v>
      </c>
      <c r="F76" s="5" t="n">
        <v>24.4</v>
      </c>
      <c r="G76" s="5" t="n"/>
      <c r="H76" s="5" t="n"/>
    </row>
    <row r="77">
      <c r="A77" s="5" t="inlineStr">
        <is>
          <t>湖南|1~10(20)千伏</t>
        </is>
      </c>
      <c r="B77" s="5" t="inlineStr">
        <is>
          <t>湖南</t>
        </is>
      </c>
      <c r="C77" s="5" t="inlineStr">
        <is>
          <t>1~10(20)千伏</t>
        </is>
      </c>
      <c r="D77" s="5" t="n">
        <v>0.1694</v>
      </c>
      <c r="E77" s="5" t="n">
        <v>33.8</v>
      </c>
      <c r="F77" s="5" t="n">
        <v>21.1</v>
      </c>
      <c r="G77" s="5" t="n"/>
      <c r="H77" s="5" t="n"/>
    </row>
    <row r="78">
      <c r="A78" s="5" t="inlineStr">
        <is>
          <t>湖南|35千伏</t>
        </is>
      </c>
      <c r="B78" s="5" t="inlineStr">
        <is>
          <t>湖南</t>
        </is>
      </c>
      <c r="C78" s="5" t="inlineStr">
        <is>
          <t>35千伏</t>
        </is>
      </c>
      <c r="D78" s="5" t="n">
        <v>0.1394</v>
      </c>
      <c r="E78" s="5" t="n">
        <v>33.8</v>
      </c>
      <c r="F78" s="5" t="n">
        <v>21.1</v>
      </c>
      <c r="G78" s="5" t="n"/>
      <c r="H78" s="5" t="n"/>
    </row>
    <row r="79">
      <c r="A79" s="5" t="inlineStr">
        <is>
          <t>湖南|110千伏</t>
        </is>
      </c>
      <c r="B79" s="5" t="inlineStr">
        <is>
          <t>湖南</t>
        </is>
      </c>
      <c r="C79" s="5" t="inlineStr">
        <is>
          <t>110千伏</t>
        </is>
      </c>
      <c r="D79" s="5" t="n">
        <v>0.1104</v>
      </c>
      <c r="E79" s="5" t="n">
        <v>30.6</v>
      </c>
      <c r="F79" s="5" t="n">
        <v>19.1</v>
      </c>
      <c r="G79" s="5" t="n"/>
      <c r="H79" s="5" t="n"/>
    </row>
    <row r="80">
      <c r="A80" s="5" t="inlineStr">
        <is>
          <t>湖南|220千伏及以上</t>
        </is>
      </c>
      <c r="B80" s="5" t="inlineStr">
        <is>
          <t>湖南</t>
        </is>
      </c>
      <c r="C80" s="5" t="inlineStr">
        <is>
          <t>220千伏及以上</t>
        </is>
      </c>
      <c r="D80" s="5" t="n">
        <v>0.0852</v>
      </c>
      <c r="E80" s="5" t="n">
        <v>30.6</v>
      </c>
      <c r="F80" s="5" t="n">
        <v>19.1</v>
      </c>
      <c r="G80" s="5" t="n"/>
      <c r="H80" s="5" t="n"/>
    </row>
    <row r="81">
      <c r="A81" s="5" t="inlineStr">
        <is>
          <t>广东（不含深圳）|1~10(20)千伏</t>
        </is>
      </c>
      <c r="B81" s="5" t="inlineStr">
        <is>
          <t>广东（不含深圳）</t>
        </is>
      </c>
      <c r="C81" s="5" t="inlineStr">
        <is>
          <t>1~10(20)千伏</t>
        </is>
      </c>
      <c r="D81" s="5" t="n">
        <v>0.0985</v>
      </c>
      <c r="E81" s="5" t="n">
        <v>36.1</v>
      </c>
      <c r="F81" s="5" t="n">
        <v>22.6</v>
      </c>
      <c r="G81" s="5" t="n"/>
      <c r="H81" s="5" t="n"/>
    </row>
    <row r="82">
      <c r="A82" s="5" t="inlineStr">
        <is>
          <t>广东（不含深圳）|35千伏</t>
        </is>
      </c>
      <c r="B82" s="5" t="inlineStr">
        <is>
          <t>广东（不含深圳）</t>
        </is>
      </c>
      <c r="C82" s="5" t="inlineStr">
        <is>
          <t>35千伏</t>
        </is>
      </c>
      <c r="D82" s="5" t="n">
        <v>0.07340000000000001</v>
      </c>
      <c r="E82" s="5" t="n">
        <v>31</v>
      </c>
      <c r="F82" s="5" t="n">
        <v>19.4</v>
      </c>
      <c r="G82" s="5" t="n"/>
      <c r="H82" s="5" t="n"/>
    </row>
    <row r="83">
      <c r="A83" s="5" t="inlineStr">
        <is>
          <t>广东（不含深圳）|110千伏</t>
        </is>
      </c>
      <c r="B83" s="5" t="inlineStr">
        <is>
          <t>广东（不含深圳）</t>
        </is>
      </c>
      <c r="C83" s="5" t="inlineStr">
        <is>
          <t>110千伏</t>
        </is>
      </c>
      <c r="D83" s="5" t="n">
        <v>0.07340000000000001</v>
      </c>
      <c r="E83" s="5" t="n">
        <v>31</v>
      </c>
      <c r="F83" s="5" t="n">
        <v>19.4</v>
      </c>
      <c r="G83" s="5" t="n"/>
      <c r="H83" s="5" t="n"/>
    </row>
    <row r="84">
      <c r="A84" s="5" t="inlineStr">
        <is>
          <t>广东（不含深圳）|220千伏及以上</t>
        </is>
      </c>
      <c r="B84" s="5" t="inlineStr">
        <is>
          <t>广东（不含深圳）</t>
        </is>
      </c>
      <c r="C84" s="5" t="inlineStr">
        <is>
          <t>220千伏及以上</t>
        </is>
      </c>
      <c r="D84" s="5" t="n">
        <v>0.0457</v>
      </c>
      <c r="E84" s="5" t="n">
        <v>26.1</v>
      </c>
      <c r="F84" s="5" t="n">
        <v>16.3</v>
      </c>
      <c r="G84" s="5" t="n"/>
      <c r="H84" s="5" t="n"/>
    </row>
    <row r="85">
      <c r="A85" s="5" t="inlineStr">
        <is>
          <t>深圳|1~10(20)千伏</t>
        </is>
      </c>
      <c r="B85" s="5" t="inlineStr">
        <is>
          <t>深圳</t>
        </is>
      </c>
      <c r="C85" s="5" t="inlineStr">
        <is>
          <t>1~10(20)千伏</t>
        </is>
      </c>
      <c r="D85" s="5" t="n">
        <v>0.1304</v>
      </c>
      <c r="E85" s="5" t="n">
        <v>42</v>
      </c>
      <c r="F85" s="5" t="n">
        <v>32</v>
      </c>
      <c r="G85" s="5" t="n"/>
      <c r="H85" s="5" t="n"/>
    </row>
    <row r="86">
      <c r="A86" s="5" t="inlineStr">
        <is>
          <t>深圳|110千伏</t>
        </is>
      </c>
      <c r="B86" s="5" t="inlineStr">
        <is>
          <t>深圳</t>
        </is>
      </c>
      <c r="C86" s="5" t="inlineStr">
        <is>
          <t>110千伏</t>
        </is>
      </c>
      <c r="D86" s="5" t="n">
        <v>0.1054</v>
      </c>
      <c r="E86" s="5" t="n">
        <v>42</v>
      </c>
      <c r="F86" s="5" t="n">
        <v>32</v>
      </c>
      <c r="G86" s="5" t="n"/>
      <c r="H86" s="5" t="n"/>
    </row>
    <row r="87">
      <c r="A87" s="5" t="inlineStr">
        <is>
          <t>深圳|220千伏及以上</t>
        </is>
      </c>
      <c r="B87" s="5" t="inlineStr">
        <is>
          <t>深圳</t>
        </is>
      </c>
      <c r="C87" s="5" t="inlineStr">
        <is>
          <t>220千伏及以上</t>
        </is>
      </c>
      <c r="D87" s="5" t="n">
        <v>0.0804</v>
      </c>
      <c r="E87" s="5" t="n">
        <v>42</v>
      </c>
      <c r="F87" s="5" t="n">
        <v>32</v>
      </c>
      <c r="G87" s="5" t="n"/>
      <c r="H87" s="5" t="n"/>
    </row>
    <row r="88">
      <c r="A88" s="5" t="inlineStr">
        <is>
          <t>广西|1~10(20)千伏</t>
        </is>
      </c>
      <c r="B88" s="5" t="inlineStr">
        <is>
          <t>广西</t>
        </is>
      </c>
      <c r="C88" s="5" t="inlineStr">
        <is>
          <t>1~10(20)千伏</t>
        </is>
      </c>
      <c r="D88" s="5" t="n">
        <v>0.1476</v>
      </c>
      <c r="E88" s="5" t="n">
        <v>38.7</v>
      </c>
      <c r="F88" s="5" t="n">
        <v>24.2</v>
      </c>
      <c r="G88" s="5" t="n"/>
      <c r="H88" s="5" t="n"/>
    </row>
    <row r="89">
      <c r="A89" s="5" t="inlineStr">
        <is>
          <t>广西|35千伏</t>
        </is>
      </c>
      <c r="B89" s="5" t="inlineStr">
        <is>
          <t>广西</t>
        </is>
      </c>
      <c r="C89" s="5" t="inlineStr">
        <is>
          <t>35千伏</t>
        </is>
      </c>
      <c r="D89" s="5" t="n">
        <v>0.1054</v>
      </c>
      <c r="E89" s="5" t="n">
        <v>37.3</v>
      </c>
      <c r="F89" s="5" t="n">
        <v>23.3</v>
      </c>
      <c r="G89" s="5" t="n"/>
      <c r="H89" s="5" t="n"/>
    </row>
    <row r="90">
      <c r="A90" s="5" t="inlineStr">
        <is>
          <t>广西|110千伏</t>
        </is>
      </c>
      <c r="B90" s="5" t="inlineStr">
        <is>
          <t>广西</t>
        </is>
      </c>
      <c r="C90" s="5" t="inlineStr">
        <is>
          <t>110千伏</t>
        </is>
      </c>
      <c r="D90" s="5" t="n">
        <v>0.07770000000000001</v>
      </c>
      <c r="E90" s="5" t="n">
        <v>34.2</v>
      </c>
      <c r="F90" s="5" t="n">
        <v>21.4</v>
      </c>
      <c r="G90" s="5" t="n"/>
      <c r="H90" s="5" t="n"/>
    </row>
    <row r="91">
      <c r="A91" s="5" t="inlineStr">
        <is>
          <t>广西|220千伏及以上</t>
        </is>
      </c>
      <c r="B91" s="5" t="inlineStr">
        <is>
          <t>广西</t>
        </is>
      </c>
      <c r="C91" s="5" t="inlineStr">
        <is>
          <t>220千伏及以上</t>
        </is>
      </c>
      <c r="D91" s="5" t="n">
        <v>0.0288</v>
      </c>
      <c r="E91" s="5" t="n">
        <v>32</v>
      </c>
      <c r="F91" s="5" t="n">
        <v>20</v>
      </c>
      <c r="G91" s="5" t="n"/>
      <c r="H91" s="5" t="n"/>
    </row>
    <row r="92">
      <c r="A92" s="5" t="inlineStr">
        <is>
          <t>海南|1~10(20)千伏</t>
        </is>
      </c>
      <c r="B92" s="5" t="inlineStr">
        <is>
          <t>海南</t>
        </is>
      </c>
      <c r="C92" s="5" t="inlineStr">
        <is>
          <t>1~10(20)千伏</t>
        </is>
      </c>
      <c r="D92" s="5" t="n">
        <v>0.135</v>
      </c>
      <c r="E92" s="5" t="n">
        <v>35.2</v>
      </c>
      <c r="F92" s="5" t="n">
        <v>22</v>
      </c>
      <c r="G92" s="5" t="n"/>
      <c r="H92" s="5" t="n"/>
    </row>
    <row r="93">
      <c r="A93" s="5" t="inlineStr">
        <is>
          <t>海南|35千伏</t>
        </is>
      </c>
      <c r="B93" s="5" t="inlineStr">
        <is>
          <t>海南</t>
        </is>
      </c>
      <c r="C93" s="5" t="inlineStr">
        <is>
          <t>35千伏</t>
        </is>
      </c>
      <c r="D93" s="5" t="n">
        <v>0.0815</v>
      </c>
      <c r="E93" s="5" t="n">
        <v>35.2</v>
      </c>
      <c r="F93" s="5" t="n">
        <v>22</v>
      </c>
      <c r="G93" s="5" t="n"/>
      <c r="H93" s="5" t="n"/>
    </row>
    <row r="94">
      <c r="A94" s="5" t="inlineStr">
        <is>
          <t>海南|110千伏</t>
        </is>
      </c>
      <c r="B94" s="5" t="inlineStr">
        <is>
          <t>海南</t>
        </is>
      </c>
      <c r="C94" s="5" t="inlineStr">
        <is>
          <t>110千伏</t>
        </is>
      </c>
      <c r="D94" s="5" t="n">
        <v>0.0798</v>
      </c>
      <c r="E94" s="5" t="n">
        <v>35.2</v>
      </c>
      <c r="F94" s="5" t="n">
        <v>22</v>
      </c>
      <c r="G94" s="5" t="n"/>
      <c r="H94" s="5" t="n"/>
    </row>
    <row r="95">
      <c r="A95" s="5" t="inlineStr">
        <is>
          <t>海南|220千伏及以上</t>
        </is>
      </c>
      <c r="B95" s="5" t="inlineStr">
        <is>
          <t>海南</t>
        </is>
      </c>
      <c r="C95" s="5" t="inlineStr">
        <is>
          <t>220千伏及以上</t>
        </is>
      </c>
      <c r="D95" s="5" t="n">
        <v>0.07000000000000001</v>
      </c>
      <c r="E95" s="5" t="n">
        <v>35.2</v>
      </c>
      <c r="F95" s="5" t="n">
        <v>22</v>
      </c>
      <c r="G95" s="5" t="n"/>
      <c r="H95" s="5" t="n"/>
    </row>
    <row r="96">
      <c r="A96" s="5" t="inlineStr">
        <is>
          <t>重庆|1~10(20)千伏</t>
        </is>
      </c>
      <c r="B96" s="5" t="inlineStr">
        <is>
          <t>重庆</t>
        </is>
      </c>
      <c r="C96" s="5" t="inlineStr">
        <is>
          <t>1~10(20)千伏</t>
        </is>
      </c>
      <c r="D96" s="5" t="n">
        <v>0.1529</v>
      </c>
      <c r="E96" s="5" t="n">
        <v>35.2</v>
      </c>
      <c r="F96" s="5" t="n">
        <v>22</v>
      </c>
      <c r="G96" s="5" t="n"/>
      <c r="H96" s="5" t="n"/>
    </row>
    <row r="97">
      <c r="A97" s="5" t="inlineStr">
        <is>
          <t>重庆|35千伏</t>
        </is>
      </c>
      <c r="B97" s="5" t="inlineStr">
        <is>
          <t>重庆</t>
        </is>
      </c>
      <c r="C97" s="5" t="inlineStr">
        <is>
          <t>35千伏</t>
        </is>
      </c>
      <c r="D97" s="5" t="n">
        <v>0.1271</v>
      </c>
      <c r="E97" s="5" t="n">
        <v>35.2</v>
      </c>
      <c r="F97" s="5" t="n">
        <v>22</v>
      </c>
      <c r="G97" s="5" t="n"/>
      <c r="H97" s="5" t="n"/>
    </row>
    <row r="98">
      <c r="A98" s="5" t="inlineStr">
        <is>
          <t>重庆|110千伏</t>
        </is>
      </c>
      <c r="B98" s="5" t="inlineStr">
        <is>
          <t>重庆</t>
        </is>
      </c>
      <c r="C98" s="5" t="inlineStr">
        <is>
          <t>110千伏</t>
        </is>
      </c>
      <c r="D98" s="5" t="n">
        <v>0.1078</v>
      </c>
      <c r="E98" s="5" t="n">
        <v>32</v>
      </c>
      <c r="F98" s="5" t="n">
        <v>20</v>
      </c>
      <c r="G98" s="5" t="n"/>
      <c r="H98" s="5" t="n"/>
    </row>
    <row r="99">
      <c r="A99" s="5" t="inlineStr">
        <is>
          <t>重庆|220千伏及以上</t>
        </is>
      </c>
      <c r="B99" s="5" t="inlineStr">
        <is>
          <t>重庆</t>
        </is>
      </c>
      <c r="C99" s="5" t="inlineStr">
        <is>
          <t>220千伏及以上</t>
        </is>
      </c>
      <c r="D99" s="5" t="n">
        <v>0.0885</v>
      </c>
      <c r="E99" s="5" t="n">
        <v>32</v>
      </c>
      <c r="F99" s="5" t="n">
        <v>20</v>
      </c>
      <c r="G99" s="5" t="n"/>
      <c r="H99" s="5" t="n"/>
    </row>
    <row r="100">
      <c r="A100" s="5" t="inlineStr">
        <is>
          <t>四川|1~10(20)千伏</t>
        </is>
      </c>
      <c r="B100" s="5" t="inlineStr">
        <is>
          <t>四川</t>
        </is>
      </c>
      <c r="C100" s="5" t="inlineStr">
        <is>
          <t>1~10(20)千伏</t>
        </is>
      </c>
      <c r="D100" s="5" t="n">
        <v>0.139</v>
      </c>
      <c r="E100" s="5" t="n">
        <v>35</v>
      </c>
      <c r="F100" s="5" t="n">
        <v>22</v>
      </c>
      <c r="G100" s="5" t="n"/>
      <c r="H100" s="5" t="n"/>
    </row>
    <row r="101">
      <c r="A101" s="5" t="inlineStr">
        <is>
          <t>四川|35千伏</t>
        </is>
      </c>
      <c r="B101" s="5" t="inlineStr">
        <is>
          <t>四川</t>
        </is>
      </c>
      <c r="C101" s="5" t="inlineStr">
        <is>
          <t>35千伏</t>
        </is>
      </c>
      <c r="D101" s="5" t="n">
        <v>0.1092</v>
      </c>
      <c r="E101" s="5" t="n">
        <v>32</v>
      </c>
      <c r="F101" s="5" t="n">
        <v>20</v>
      </c>
      <c r="G101" s="5" t="n"/>
      <c r="H101" s="5" t="n"/>
    </row>
    <row r="102">
      <c r="A102" s="5" t="inlineStr">
        <is>
          <t>四川|110千伏</t>
        </is>
      </c>
      <c r="B102" s="5" t="inlineStr">
        <is>
          <t>四川</t>
        </is>
      </c>
      <c r="C102" s="5" t="inlineStr">
        <is>
          <t>110千伏</t>
        </is>
      </c>
      <c r="D102" s="5" t="n">
        <v>0.0669</v>
      </c>
      <c r="E102" s="5" t="n">
        <v>27</v>
      </c>
      <c r="F102" s="5" t="n">
        <v>17</v>
      </c>
      <c r="G102" s="5" t="n"/>
      <c r="H102" s="5" t="n"/>
    </row>
    <row r="103">
      <c r="A103" s="5" t="inlineStr">
        <is>
          <t>四川|220千伏及以上</t>
        </is>
      </c>
      <c r="B103" s="5" t="inlineStr">
        <is>
          <t>四川</t>
        </is>
      </c>
      <c r="C103" s="5" t="inlineStr">
        <is>
          <t>220千伏及以上</t>
        </is>
      </c>
      <c r="D103" s="5" t="n">
        <v>0.0478</v>
      </c>
      <c r="E103" s="5" t="n">
        <v>24</v>
      </c>
      <c r="F103" s="5" t="n">
        <v>15</v>
      </c>
      <c r="G103" s="5" t="n"/>
      <c r="H103" s="5" t="n"/>
    </row>
    <row r="104">
      <c r="A104" s="5" t="inlineStr">
        <is>
          <t>贵州|1~10(20)千伏</t>
        </is>
      </c>
      <c r="B104" s="5" t="inlineStr">
        <is>
          <t>贵州</t>
        </is>
      </c>
      <c r="C104" s="5" t="inlineStr">
        <is>
          <t>1~10(20)千伏</t>
        </is>
      </c>
      <c r="D104" s="5" t="n">
        <v>0.128</v>
      </c>
      <c r="E104" s="5" t="n">
        <v>35</v>
      </c>
      <c r="F104" s="5" t="n">
        <v>22</v>
      </c>
      <c r="G104" s="5" t="n"/>
      <c r="H104" s="5" t="n"/>
    </row>
    <row r="105">
      <c r="A105" s="5" t="inlineStr">
        <is>
          <t>贵州|35千伏</t>
        </is>
      </c>
      <c r="B105" s="5" t="inlineStr">
        <is>
          <t>贵州</t>
        </is>
      </c>
      <c r="C105" s="5" t="inlineStr">
        <is>
          <t>35千伏</t>
        </is>
      </c>
      <c r="D105" s="5" t="n">
        <v>0.1143</v>
      </c>
      <c r="E105" s="5" t="n">
        <v>33</v>
      </c>
      <c r="F105" s="5" t="n">
        <v>21</v>
      </c>
      <c r="G105" s="5" t="n"/>
      <c r="H105" s="5" t="n"/>
    </row>
    <row r="106">
      <c r="A106" s="5" t="inlineStr">
        <is>
          <t>贵州|110千伏</t>
        </is>
      </c>
      <c r="B106" s="5" t="inlineStr">
        <is>
          <t>贵州</t>
        </is>
      </c>
      <c r="C106" s="5" t="inlineStr">
        <is>
          <t>110千伏</t>
        </is>
      </c>
      <c r="D106" s="5" t="n">
        <v>0.07770000000000001</v>
      </c>
      <c r="E106" s="5" t="n">
        <v>31</v>
      </c>
      <c r="F106" s="5" t="n">
        <v>20</v>
      </c>
      <c r="G106" s="5" t="n"/>
      <c r="H106" s="5" t="n"/>
    </row>
    <row r="107">
      <c r="A107" s="5" t="inlineStr">
        <is>
          <t>贵州|220千伏及以上</t>
        </is>
      </c>
      <c r="B107" s="5" t="inlineStr">
        <is>
          <t>贵州</t>
        </is>
      </c>
      <c r="C107" s="5" t="inlineStr">
        <is>
          <t>220千伏及以上</t>
        </is>
      </c>
      <c r="D107" s="5" t="n">
        <v>0.0529</v>
      </c>
      <c r="E107" s="5" t="n">
        <v>30</v>
      </c>
      <c r="F107" s="5" t="n">
        <v>19</v>
      </c>
      <c r="G107" s="5" t="n"/>
      <c r="H107" s="5" t="n"/>
    </row>
    <row r="108">
      <c r="A108" s="5" t="inlineStr">
        <is>
          <t>云南|1~10(20)千伏</t>
        </is>
      </c>
      <c r="B108" s="5" t="inlineStr">
        <is>
          <t>云南</t>
        </is>
      </c>
      <c r="C108" s="5" t="inlineStr">
        <is>
          <t>1~10(20)千伏</t>
        </is>
      </c>
      <c r="D108" s="5" t="n">
        <v>0.1296</v>
      </c>
      <c r="E108" s="5" t="n">
        <v>38.4</v>
      </c>
      <c r="F108" s="5" t="n">
        <v>24</v>
      </c>
      <c r="G108" s="5" t="n"/>
      <c r="H108" s="5" t="n"/>
    </row>
    <row r="109">
      <c r="A109" s="5" t="inlineStr">
        <is>
          <t>云南|35千伏</t>
        </is>
      </c>
      <c r="B109" s="5" t="inlineStr">
        <is>
          <t>云南</t>
        </is>
      </c>
      <c r="C109" s="5" t="inlineStr">
        <is>
          <t>35千伏</t>
        </is>
      </c>
      <c r="D109" s="5" t="n">
        <v>0.1045</v>
      </c>
      <c r="E109" s="5" t="n">
        <v>38.4</v>
      </c>
      <c r="F109" s="5" t="n">
        <v>24</v>
      </c>
      <c r="G109" s="5" t="n"/>
      <c r="H109" s="5" t="n"/>
    </row>
    <row r="110">
      <c r="A110" s="5" t="inlineStr">
        <is>
          <t>云南|110千伏</t>
        </is>
      </c>
      <c r="B110" s="5" t="inlineStr">
        <is>
          <t>云南</t>
        </is>
      </c>
      <c r="C110" s="5" t="inlineStr">
        <is>
          <t>110千伏</t>
        </is>
      </c>
      <c r="D110" s="5" t="n">
        <v>0.07489999999999999</v>
      </c>
      <c r="E110" s="5" t="n">
        <v>36.8</v>
      </c>
      <c r="F110" s="5" t="n">
        <v>23</v>
      </c>
      <c r="G110" s="5" t="n"/>
      <c r="H110" s="5" t="n"/>
    </row>
    <row r="111">
      <c r="A111" s="5" t="inlineStr">
        <is>
          <t>云南|220千伏及以上</t>
        </is>
      </c>
      <c r="B111" s="5" t="inlineStr">
        <is>
          <t>云南</t>
        </is>
      </c>
      <c r="C111" s="5" t="inlineStr">
        <is>
          <t>220千伏及以上</t>
        </is>
      </c>
      <c r="D111" s="5" t="n">
        <v>0.0555</v>
      </c>
      <c r="E111" s="5" t="n">
        <v>36.8</v>
      </c>
      <c r="F111" s="5" t="n">
        <v>23</v>
      </c>
      <c r="G111" s="5" t="n"/>
      <c r="H111" s="5" t="n"/>
    </row>
    <row r="112">
      <c r="A112" s="5" t="inlineStr">
        <is>
          <t>陕西（不含榆林）|1~10(20)千伏</t>
        </is>
      </c>
      <c r="B112" s="5" t="inlineStr">
        <is>
          <t>陕西（不含榆林）</t>
        </is>
      </c>
      <c r="C112" s="5" t="inlineStr">
        <is>
          <t>1~10(20)千伏</t>
        </is>
      </c>
      <c r="D112" s="5" t="n">
        <v>0.1231</v>
      </c>
      <c r="E112" s="5" t="n">
        <v>35.2</v>
      </c>
      <c r="F112" s="5" t="n">
        <v>22</v>
      </c>
      <c r="G112" s="5" t="n"/>
      <c r="H112" s="5" t="n"/>
    </row>
    <row r="113">
      <c r="A113" s="5" t="inlineStr">
        <is>
          <t>陕西（不含榆林）|35千伏</t>
        </is>
      </c>
      <c r="B113" s="5" t="inlineStr">
        <is>
          <t>陕西（不含榆林）</t>
        </is>
      </c>
      <c r="C113" s="5" t="inlineStr">
        <is>
          <t>35千伏</t>
        </is>
      </c>
      <c r="D113" s="5" t="n">
        <v>0.1031</v>
      </c>
      <c r="E113" s="5" t="n">
        <v>35.2</v>
      </c>
      <c r="F113" s="5" t="n">
        <v>22</v>
      </c>
      <c r="G113" s="5" t="n"/>
      <c r="H113" s="5" t="n"/>
    </row>
    <row r="114">
      <c r="A114" s="5" t="inlineStr">
        <is>
          <t>陕西（不含榆林）|110千伏</t>
        </is>
      </c>
      <c r="B114" s="5" t="inlineStr">
        <is>
          <t>陕西（不含榆林）</t>
        </is>
      </c>
      <c r="C114" s="5" t="inlineStr">
        <is>
          <t>110千伏</t>
        </is>
      </c>
      <c r="D114" s="5" t="n">
        <v>0.08309999999999999</v>
      </c>
      <c r="E114" s="5" t="n">
        <v>32</v>
      </c>
      <c r="F114" s="5" t="n">
        <v>20</v>
      </c>
      <c r="G114" s="5" t="n"/>
      <c r="H114" s="5" t="n"/>
    </row>
    <row r="115">
      <c r="A115" s="5" t="inlineStr">
        <is>
          <t>陕西（不含榆林）|220千伏及以上</t>
        </is>
      </c>
      <c r="B115" s="5" t="inlineStr">
        <is>
          <t>陕西（不含榆林）</t>
        </is>
      </c>
      <c r="C115" s="5" t="inlineStr">
        <is>
          <t>220千伏及以上</t>
        </is>
      </c>
      <c r="D115" s="5" t="n">
        <v>0.0731</v>
      </c>
      <c r="E115" s="5" t="n">
        <v>32</v>
      </c>
      <c r="F115" s="5" t="n">
        <v>20</v>
      </c>
      <c r="G115" s="5" t="n"/>
      <c r="H115" s="5" t="n"/>
    </row>
    <row r="116">
      <c r="A116" s="5" t="inlineStr">
        <is>
          <t>陕西（榆林地区）|1~10(20)千伏</t>
        </is>
      </c>
      <c r="B116" s="5" t="inlineStr">
        <is>
          <t>陕西（榆林地区）</t>
        </is>
      </c>
      <c r="C116" s="5" t="inlineStr">
        <is>
          <t>1~10(20)千伏</t>
        </is>
      </c>
      <c r="D116" s="5" t="n">
        <v>0.1038</v>
      </c>
      <c r="E116" s="5" t="n">
        <v>35.2</v>
      </c>
      <c r="F116" s="5" t="n">
        <v>22</v>
      </c>
      <c r="G116" s="5" t="n"/>
      <c r="H116" s="5" t="n"/>
    </row>
    <row r="117">
      <c r="A117" s="5" t="inlineStr">
        <is>
          <t>陕西（榆林地区）|35千伏</t>
        </is>
      </c>
      <c r="B117" s="5" t="inlineStr">
        <is>
          <t>陕西（榆林地区）</t>
        </is>
      </c>
      <c r="C117" s="5" t="inlineStr">
        <is>
          <t>35千伏</t>
        </is>
      </c>
      <c r="D117" s="5" t="n">
        <v>0.0838</v>
      </c>
      <c r="E117" s="5" t="n">
        <v>35.2</v>
      </c>
      <c r="F117" s="5" t="n">
        <v>22</v>
      </c>
      <c r="G117" s="5" t="n"/>
      <c r="H117" s="5" t="n"/>
    </row>
    <row r="118">
      <c r="A118" s="5" t="inlineStr">
        <is>
          <t>陕西（榆林地区）|110千伏</t>
        </is>
      </c>
      <c r="B118" s="5" t="inlineStr">
        <is>
          <t>陕西（榆林地区）</t>
        </is>
      </c>
      <c r="C118" s="5" t="inlineStr">
        <is>
          <t>110千伏</t>
        </is>
      </c>
      <c r="D118" s="5" t="n">
        <v>0.0638</v>
      </c>
      <c r="E118" s="5" t="n">
        <v>32</v>
      </c>
      <c r="F118" s="5" t="n">
        <v>20</v>
      </c>
      <c r="G118" s="5" t="n"/>
      <c r="H118" s="5" t="n"/>
    </row>
    <row r="119">
      <c r="A119" s="5" t="inlineStr">
        <is>
          <t>陕西（榆林地区）|220千伏及以上</t>
        </is>
      </c>
      <c r="B119" s="5" t="inlineStr">
        <is>
          <t>陕西（榆林地区）</t>
        </is>
      </c>
      <c r="C119" s="5" t="inlineStr">
        <is>
          <t>220千伏及以上</t>
        </is>
      </c>
      <c r="D119" s="5" t="n">
        <v>0.0538</v>
      </c>
      <c r="E119" s="5" t="n">
        <v>32</v>
      </c>
      <c r="F119" s="5" t="n">
        <v>20</v>
      </c>
      <c r="G119" s="5" t="n"/>
      <c r="H119" s="5" t="n"/>
    </row>
    <row r="120">
      <c r="A120" s="5" t="inlineStr">
        <is>
          <t>甘肃|1~10(20)千伏</t>
        </is>
      </c>
      <c r="B120" s="5" t="inlineStr">
        <is>
          <t>甘肃</t>
        </is>
      </c>
      <c r="C120" s="5" t="inlineStr">
        <is>
          <t>1~10(20)千伏</t>
        </is>
      </c>
      <c r="D120" s="5" t="n">
        <v>0.1028</v>
      </c>
      <c r="E120" s="5" t="n">
        <v>38.4</v>
      </c>
      <c r="F120" s="5" t="n">
        <v>24</v>
      </c>
      <c r="G120" s="5" t="n"/>
      <c r="H120" s="5" t="n"/>
    </row>
    <row r="121">
      <c r="A121" s="5" t="inlineStr">
        <is>
          <t>甘肃|35千伏</t>
        </is>
      </c>
      <c r="B121" s="5" t="inlineStr">
        <is>
          <t>甘肃</t>
        </is>
      </c>
      <c r="C121" s="5" t="inlineStr">
        <is>
          <t>35千伏</t>
        </is>
      </c>
      <c r="D121" s="5" t="n">
        <v>0.0888</v>
      </c>
      <c r="E121" s="5" t="n">
        <v>36.8</v>
      </c>
      <c r="F121" s="5" t="n">
        <v>23</v>
      </c>
      <c r="G121" s="5" t="n"/>
      <c r="H121" s="5" t="n"/>
    </row>
    <row r="122">
      <c r="A122" s="5" t="inlineStr">
        <is>
          <t>甘肃|110千伏</t>
        </is>
      </c>
      <c r="B122" s="5" t="inlineStr">
        <is>
          <t>甘肃</t>
        </is>
      </c>
      <c r="C122" s="5" t="inlineStr">
        <is>
          <t>110千伏</t>
        </is>
      </c>
      <c r="D122" s="5" t="n">
        <v>0.0764</v>
      </c>
      <c r="E122" s="5" t="n">
        <v>32.8</v>
      </c>
      <c r="F122" s="5" t="n">
        <v>20.5</v>
      </c>
      <c r="G122" s="5" t="n"/>
      <c r="H122" s="5" t="n"/>
    </row>
    <row r="123">
      <c r="A123" s="5" t="inlineStr">
        <is>
          <t>甘肃|220千伏及以上</t>
        </is>
      </c>
      <c r="B123" s="5" t="inlineStr">
        <is>
          <t>甘肃</t>
        </is>
      </c>
      <c r="C123" s="5" t="inlineStr">
        <is>
          <t>220千伏及以上</t>
        </is>
      </c>
      <c r="D123" s="5" t="n">
        <v>0.0658</v>
      </c>
      <c r="E123" s="5" t="n">
        <v>32.8</v>
      </c>
      <c r="F123" s="5" t="n">
        <v>20.5</v>
      </c>
      <c r="G123" s="5" t="n"/>
      <c r="H123" s="5" t="n"/>
    </row>
    <row r="124">
      <c r="A124" s="5" t="inlineStr">
        <is>
          <t>青海|1~10(20)千伏</t>
        </is>
      </c>
      <c r="B124" s="5" t="inlineStr">
        <is>
          <t>青海</t>
        </is>
      </c>
      <c r="C124" s="5" t="inlineStr">
        <is>
          <t>1~10(20)千伏</t>
        </is>
      </c>
      <c r="D124" s="5" t="n">
        <v>0.0834</v>
      </c>
      <c r="E124" s="5" t="n">
        <v>33.6</v>
      </c>
      <c r="F124" s="5" t="n">
        <v>21</v>
      </c>
      <c r="G124" s="5" t="n"/>
      <c r="H124" s="5" t="n"/>
    </row>
    <row r="125">
      <c r="A125" s="5" t="inlineStr">
        <is>
          <t>青海|35千伏</t>
        </is>
      </c>
      <c r="B125" s="5" t="inlineStr">
        <is>
          <t>青海</t>
        </is>
      </c>
      <c r="C125" s="5" t="inlineStr">
        <is>
          <t>35千伏</t>
        </is>
      </c>
      <c r="D125" s="5" t="n">
        <v>0.0779</v>
      </c>
      <c r="E125" s="5" t="n">
        <v>33.6</v>
      </c>
      <c r="F125" s="5" t="n">
        <v>21</v>
      </c>
      <c r="G125" s="5" t="n"/>
      <c r="H125" s="5" t="n"/>
    </row>
    <row r="126">
      <c r="A126" s="5" t="inlineStr">
        <is>
          <t>青海|110千伏</t>
        </is>
      </c>
      <c r="B126" s="5" t="inlineStr">
        <is>
          <t>青海</t>
        </is>
      </c>
      <c r="C126" s="5" t="inlineStr">
        <is>
          <t>110千伏</t>
        </is>
      </c>
      <c r="D126" s="5" t="n">
        <v>0.0677</v>
      </c>
      <c r="E126" s="5" t="n">
        <v>32</v>
      </c>
      <c r="F126" s="5" t="n">
        <v>20</v>
      </c>
      <c r="G126" s="5" t="n"/>
      <c r="H126" s="5" t="n"/>
    </row>
    <row r="127">
      <c r="A127" s="5" t="inlineStr">
        <is>
          <t>青海|220千伏及以上</t>
        </is>
      </c>
      <c r="B127" s="5" t="inlineStr">
        <is>
          <t>青海</t>
        </is>
      </c>
      <c r="C127" s="5" t="inlineStr">
        <is>
          <t>220千伏及以上</t>
        </is>
      </c>
      <c r="D127" s="5" t="n">
        <v>0.0677</v>
      </c>
      <c r="E127" s="5" t="n">
        <v>32</v>
      </c>
      <c r="F127" s="5" t="n">
        <v>20</v>
      </c>
      <c r="G127" s="5" t="n"/>
      <c r="H127" s="5" t="n"/>
    </row>
    <row r="128">
      <c r="A128" s="5" t="inlineStr">
        <is>
          <t>宁夏|1~10(20)千伏</t>
        </is>
      </c>
      <c r="B128" s="5" t="inlineStr">
        <is>
          <t>宁夏</t>
        </is>
      </c>
      <c r="C128" s="5" t="inlineStr">
        <is>
          <t>1~10(20)千伏</t>
        </is>
      </c>
      <c r="D128" s="5" t="n">
        <v>0.092</v>
      </c>
      <c r="E128" s="5" t="n">
        <v>28.8</v>
      </c>
      <c r="F128" s="5" t="n">
        <v>18</v>
      </c>
      <c r="G128" s="5" t="n"/>
      <c r="H128" s="5" t="n"/>
    </row>
    <row r="129">
      <c r="A129" s="5" t="inlineStr">
        <is>
          <t>宁夏|35千伏</t>
        </is>
      </c>
      <c r="B129" s="5" t="inlineStr">
        <is>
          <t>宁夏</t>
        </is>
      </c>
      <c r="C129" s="5" t="inlineStr">
        <is>
          <t>35千伏</t>
        </is>
      </c>
      <c r="D129" s="5" t="n">
        <v>0.0769</v>
      </c>
      <c r="E129" s="5" t="n">
        <v>28.8</v>
      </c>
      <c r="F129" s="5" t="n">
        <v>18</v>
      </c>
      <c r="G129" s="5" t="n"/>
      <c r="H129" s="5" t="n"/>
    </row>
    <row r="130">
      <c r="A130" s="5" t="inlineStr">
        <is>
          <t>宁夏|110千伏</t>
        </is>
      </c>
      <c r="B130" s="5" t="inlineStr">
        <is>
          <t>宁夏</t>
        </is>
      </c>
      <c r="C130" s="5" t="inlineStr">
        <is>
          <t>110千伏</t>
        </is>
      </c>
      <c r="D130" s="5" t="n">
        <v>0.06</v>
      </c>
      <c r="E130" s="5" t="n">
        <v>25.6</v>
      </c>
      <c r="F130" s="5" t="n">
        <v>16</v>
      </c>
      <c r="G130" s="5" t="n"/>
      <c r="H130" s="5" t="n"/>
    </row>
    <row r="131">
      <c r="A131" s="5" t="inlineStr">
        <is>
          <t>宁夏|220千伏及以上</t>
        </is>
      </c>
      <c r="B131" s="5" t="inlineStr">
        <is>
          <t>宁夏</t>
        </is>
      </c>
      <c r="C131" s="5" t="inlineStr">
        <is>
          <t>220千伏及以上</t>
        </is>
      </c>
      <c r="D131" s="5" t="n">
        <v>0.0521</v>
      </c>
      <c r="E131" s="5" t="n">
        <v>25.6</v>
      </c>
      <c r="F131" s="5" t="n">
        <v>16</v>
      </c>
      <c r="G131" s="5" t="n"/>
      <c r="H131" s="5" t="n"/>
    </row>
    <row r="132">
      <c r="A132" s="5" t="inlineStr">
        <is>
          <t>新疆|1~10(20)千伏</t>
        </is>
      </c>
      <c r="B132" s="5" t="inlineStr">
        <is>
          <t>新疆</t>
        </is>
      </c>
      <c r="C132" s="5" t="inlineStr">
        <is>
          <t>1~10(20)千伏</t>
        </is>
      </c>
      <c r="D132" s="5" t="n">
        <v>0.1204</v>
      </c>
      <c r="E132" s="5" t="n">
        <v>32</v>
      </c>
      <c r="F132" s="5" t="n">
        <v>20</v>
      </c>
      <c r="G132" s="5" t="n"/>
      <c r="H132" s="5" t="n"/>
    </row>
    <row r="133">
      <c r="A133" s="5" t="inlineStr">
        <is>
          <t>新疆|35千伏</t>
        </is>
      </c>
      <c r="B133" s="5" t="inlineStr">
        <is>
          <t>新疆</t>
        </is>
      </c>
      <c r="C133" s="5" t="inlineStr">
        <is>
          <t>35千伏</t>
        </is>
      </c>
      <c r="D133" s="5" t="n">
        <v>0.11</v>
      </c>
      <c r="E133" s="5" t="n">
        <v>32</v>
      </c>
      <c r="F133" s="5" t="n">
        <v>20</v>
      </c>
      <c r="G133" s="5" t="n"/>
      <c r="H133" s="5" t="n"/>
    </row>
    <row r="134">
      <c r="A134" s="5" t="inlineStr">
        <is>
          <t>新疆|110千伏</t>
        </is>
      </c>
      <c r="B134" s="5" t="inlineStr">
        <is>
          <t>新疆</t>
        </is>
      </c>
      <c r="C134" s="5" t="inlineStr">
        <is>
          <t>110千伏</t>
        </is>
      </c>
      <c r="D134" s="5" t="n">
        <v>0.0815</v>
      </c>
      <c r="E134" s="5" t="n">
        <v>30.4</v>
      </c>
      <c r="F134" s="5" t="n">
        <v>19</v>
      </c>
      <c r="G134" s="5" t="n"/>
      <c r="H134" s="5" t="n"/>
    </row>
    <row r="135">
      <c r="A135" s="5" t="inlineStr">
        <is>
          <t>新疆|220千伏及以上</t>
        </is>
      </c>
      <c r="B135" s="5" t="inlineStr">
        <is>
          <t>新疆</t>
        </is>
      </c>
      <c r="C135" s="5" t="inlineStr">
        <is>
          <t>220千伏及以上</t>
        </is>
      </c>
      <c r="D135" s="5" t="n">
        <v>0.0486</v>
      </c>
      <c r="E135" s="5" t="n">
        <v>30.4</v>
      </c>
      <c r="F135" s="5" t="n">
        <v>19</v>
      </c>
      <c r="G135" s="5" t="n"/>
      <c r="H135" s="5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F07E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9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" customWidth="1" min="1" max="1"/>
    <col width="36" customWidth="1" min="2" max="2"/>
    <col width="16" customWidth="1" min="3" max="3"/>
    <col width="12" customWidth="1" min="4" max="4"/>
    <col width="12" customWidth="1" min="5" max="5"/>
    <col width="9" customWidth="1" min="6" max="6"/>
    <col width="9" customWidth="1" min="7" max="7"/>
    <col width="30" customWidth="1" min="8" max="8"/>
    <col width="14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</cols>
  <sheetData>
    <row r="1" ht="22" customHeight="1">
      <c r="B1" s="23" t="inlineStr">
        <is>
          <t>绿电直连经济测算 v1 · 介子九维 JIEZIJIUWEI</t>
        </is>
      </c>
    </row>
    <row r="2" ht="13" customHeight="1">
      <c r="B2" s="24" t="inlineStr">
        <is>
          <t>输入区（黄底蓝字可修改；带出值为预设，填「覆盖值」栏替代；批注含填报说明）</t>
        </is>
      </c>
    </row>
    <row r="3" ht="18" customHeight="1">
      <c r="B3" s="25" t="inlineStr">
        <is>
          <t>参数</t>
        </is>
      </c>
      <c r="C3" s="25" t="inlineStr">
        <is>
          <t>数值</t>
        </is>
      </c>
      <c r="D3" s="25" t="inlineStr">
        <is>
          <t>单位</t>
        </is>
      </c>
      <c r="E3" s="25" t="inlineStr">
        <is>
          <t>覆盖值</t>
        </is>
      </c>
      <c r="H3" s="26" t="inlineStr">
        <is>
          <t>关键指标</t>
        </is>
      </c>
      <c r="I3" s="27" t="n"/>
      <c r="J3" s="27" t="n"/>
    </row>
    <row r="4" ht="18" customHeight="1">
      <c r="B4" s="26" t="inlineStr">
        <is>
          <t>模式开关</t>
        </is>
      </c>
      <c r="C4" s="27" t="n"/>
      <c r="D4" s="27" t="n"/>
      <c r="E4" s="27" t="n"/>
      <c r="H4" s="28" t="inlineStr">
        <is>
          <t>全投资内部收益率（税前）</t>
        </is>
      </c>
      <c r="I4" s="29">
        <f>_zvfwiv</f>
        <v/>
      </c>
      <c r="J4" s="30" t="inlineStr"/>
    </row>
    <row r="5" ht="15.5" customHeight="1">
      <c r="B5" s="31" t="inlineStr">
        <is>
          <t>项目形态</t>
        </is>
      </c>
      <c r="C5" s="32" t="inlineStr">
        <is>
          <t>并网型</t>
        </is>
      </c>
      <c r="D5" s="24" t="inlineStr"/>
      <c r="H5" s="33" t="inlineStr">
        <is>
          <t>全投资内部收益率（税后）</t>
        </is>
      </c>
      <c r="I5" s="34">
        <f>_z3ewnh</f>
        <v/>
      </c>
      <c r="J5" s="35" t="inlineStr">
        <is>
          <t>主评价指标</t>
        </is>
      </c>
    </row>
    <row r="6" ht="15.5" customHeight="1">
      <c r="B6" s="31" t="inlineStr">
        <is>
          <t>输配电费方式</t>
        </is>
      </c>
      <c r="C6" s="32" t="inlineStr">
        <is>
          <t>单一容量制</t>
        </is>
      </c>
      <c r="D6" s="24" t="inlineStr"/>
      <c r="H6" s="33" t="inlineStr">
        <is>
          <t>资本金内部收益率</t>
        </is>
      </c>
      <c r="I6" s="34">
        <f>_z2tbwe</f>
        <v/>
      </c>
      <c r="J6" s="35" t="inlineStr"/>
    </row>
    <row r="7" ht="15.5" customHeight="1">
      <c r="B7" s="31" t="inlineStr">
        <is>
          <t>现行容（需）量电费计费方式</t>
        </is>
      </c>
      <c r="C7" s="32" t="inlineStr">
        <is>
          <t>按容量</t>
        </is>
      </c>
      <c r="D7" s="24" t="inlineStr"/>
      <c r="H7" s="33" t="inlineStr">
        <is>
          <t>净现值（税后全投资）</t>
        </is>
      </c>
      <c r="I7" s="36">
        <f>_z8sr6o</f>
        <v/>
      </c>
      <c r="J7" s="35" t="inlineStr">
        <is>
          <t>万元</t>
        </is>
      </c>
    </row>
    <row r="8" ht="15.5" customHeight="1">
      <c r="B8" s="31" t="inlineStr">
        <is>
          <t>基金计费口径</t>
        </is>
      </c>
      <c r="C8" s="32" t="inlineStr">
        <is>
          <t>下网+自用</t>
        </is>
      </c>
      <c r="D8" s="24" t="inlineStr"/>
      <c r="H8" s="33" t="inlineStr">
        <is>
          <t>静态回收期</t>
        </is>
      </c>
      <c r="I8" s="37">
        <f>_z3lcbu</f>
        <v/>
      </c>
      <c r="J8" s="35" t="inlineStr">
        <is>
          <t>年</t>
        </is>
      </c>
    </row>
    <row r="9" ht="15.5" customHeight="1">
      <c r="B9" s="31" t="inlineStr">
        <is>
          <t>所得税三免三减半</t>
        </is>
      </c>
      <c r="C9" s="32" t="inlineStr">
        <is>
          <t>是</t>
        </is>
      </c>
      <c r="D9" s="24" t="inlineStr"/>
      <c r="H9" s="33" t="inlineStr">
        <is>
          <t>动态回收期</t>
        </is>
      </c>
      <c r="I9" s="37">
        <f>_z4kqsx</f>
        <v/>
      </c>
      <c r="J9" s="35" t="inlineStr">
        <is>
          <t>年</t>
        </is>
      </c>
    </row>
    <row r="10" ht="15.5" customHeight="1">
      <c r="H10" s="33" t="inlineStr">
        <is>
          <t>度电成本 LCOE</t>
        </is>
      </c>
      <c r="I10" s="38">
        <f>_zehl1m</f>
        <v/>
      </c>
      <c r="J10" s="35" t="inlineStr">
        <is>
          <t>元/kWh</t>
        </is>
      </c>
    </row>
    <row r="11" ht="18" customHeight="1">
      <c r="B11" s="26" t="inlineStr">
        <is>
          <t>价区与输配电价</t>
        </is>
      </c>
      <c r="C11" s="27" t="n"/>
      <c r="D11" s="27" t="n"/>
      <c r="E11" s="27" t="n"/>
      <c r="H11" s="33" t="inlineStr">
        <is>
          <t>综合到户电价</t>
        </is>
      </c>
      <c r="I11" s="38">
        <f>_z3179u</f>
        <v/>
      </c>
      <c r="J11" s="35" t="inlineStr">
        <is>
          <t>元/kWh</t>
        </is>
      </c>
    </row>
    <row r="12" ht="15.5" customHeight="1">
      <c r="B12" s="31" t="inlineStr">
        <is>
          <t>价区</t>
        </is>
      </c>
      <c r="C12" s="32" t="inlineStr">
        <is>
          <t>山东</t>
        </is>
      </c>
      <c r="D12" s="24" t="inlineStr"/>
      <c r="H12" s="33" t="inlineStr">
        <is>
          <t>年节省额（对照电网购电）</t>
        </is>
      </c>
      <c r="I12" s="36">
        <f>_zmorcm</f>
        <v/>
      </c>
      <c r="J12" s="35" t="inlineStr">
        <is>
          <t>万元</t>
        </is>
      </c>
    </row>
    <row r="13" ht="15.5" customHeight="1">
      <c r="B13" s="31" t="inlineStr">
        <is>
          <t>接入电压等级</t>
        </is>
      </c>
      <c r="C13" s="32" t="inlineStr">
        <is>
          <t>110千伏</t>
        </is>
      </c>
      <c r="D13" s="24" t="inlineStr"/>
      <c r="H13" s="33" t="inlineStr">
        <is>
          <t>节省率</t>
        </is>
      </c>
      <c r="I13" s="39">
        <f>_zhg1yd</f>
        <v/>
      </c>
      <c r="J13" s="35" t="inlineStr"/>
    </row>
    <row r="14" ht="15.5" customHeight="1">
      <c r="B14" s="31" t="inlineStr">
        <is>
          <t>输配电度电价</t>
        </is>
      </c>
      <c r="C14" s="40">
        <f>IF(ISNUMBER($E$14),$E$14,IFERROR(INDEX(_zixjw6,MATCH(_zghnzo&amp;"|"&amp;_z82y2b,_zk618t,0)),0))</f>
        <v/>
      </c>
      <c r="D14" s="24" t="inlineStr">
        <is>
          <t>元/kWh</t>
        </is>
      </c>
      <c r="E14" s="41" t="n"/>
      <c r="H14" s="42" t="inlineStr">
        <is>
          <t>绿证/CBAM规避价值（单列）</t>
        </is>
      </c>
      <c r="I14" s="43">
        <f>_zc82pq</f>
        <v/>
      </c>
      <c r="J14" s="44" t="inlineStr">
        <is>
          <t>万元</t>
        </is>
      </c>
    </row>
    <row r="15" ht="15.5" customHeight="1">
      <c r="B15" s="31" t="inlineStr">
        <is>
          <t>需量电价</t>
        </is>
      </c>
      <c r="C15" s="40">
        <f>IF(ISNUMBER($E$15),$E$15,IFERROR(INDEX(_zwjvbx,MATCH(_zghnzo&amp;"|"&amp;_z82y2b,_zk618t,0)),0))</f>
        <v/>
      </c>
      <c r="D15" s="24" t="inlineStr">
        <is>
          <t>元/kW·月</t>
        </is>
      </c>
      <c r="E15" s="41" t="n"/>
    </row>
    <row r="16" ht="18" customHeight="1">
      <c r="B16" s="31" t="inlineStr">
        <is>
          <t>容量电价</t>
        </is>
      </c>
      <c r="C16" s="40">
        <f>IF(ISNUMBER($E$16),$E$16,IFERROR(INDEX(_zf8jb3,MATCH(_zghnzo&amp;"|"&amp;_z82y2b,_zk618t,0)),0))</f>
        <v/>
      </c>
      <c r="D16" s="24" t="inlineStr">
        <is>
          <t>元/kVA·月</t>
        </is>
      </c>
      <c r="E16" s="41" t="n"/>
      <c r="H16" s="26" t="inlineStr">
        <is>
          <t>合规判定（绿电直连准入红线）</t>
        </is>
      </c>
      <c r="I16" s="27" t="n"/>
      <c r="J16" s="27" t="n"/>
    </row>
    <row r="17" ht="15.5" customHeight="1">
      <c r="B17" s="45">
        <f>IF(ISNA(MATCH(_zghnzo&amp;"|"&amp;_z82y2b,_zk618t,0)),"所选价区无此电压档，请改选电压等级或填写覆盖值","")</f>
        <v/>
      </c>
      <c r="H17" s="31" t="inlineStr">
        <is>
          <t>自发自用/可用发电量 ≥60%</t>
        </is>
      </c>
      <c r="I17" s="46">
        <f>_zkt2jm</f>
        <v/>
      </c>
      <c r="J17" s="47">
        <f>IF(_zkt2jm&gt;=0.6,"通过","不满足")</f>
        <v/>
      </c>
    </row>
    <row r="18" ht="15.5" customHeight="1">
      <c r="H18" s="31" t="inlineStr">
        <is>
          <t>自发自用/年用电量 ≥30%</t>
        </is>
      </c>
      <c r="I18" s="46">
        <f>_zy8wik</f>
        <v/>
      </c>
      <c r="J18" s="47">
        <f>IF(_zy8wik&gt;=0.3,"通过","不满足")</f>
        <v/>
      </c>
    </row>
    <row r="19" ht="18" customHeight="1">
      <c r="B19" s="26" t="inlineStr">
        <is>
          <t>A 项目基础</t>
        </is>
      </c>
      <c r="C19" s="27" t="n"/>
      <c r="D19" s="27" t="n"/>
      <c r="E19" s="27" t="n"/>
      <c r="H19" s="31" t="inlineStr">
        <is>
          <t>上网电量/可用发电量 ≤20%</t>
        </is>
      </c>
      <c r="I19" s="46">
        <f>_zl0ecr</f>
        <v/>
      </c>
      <c r="J19" s="47">
        <f>IF((_zkrpcw="离网型"),"通过（离网不适用）",IF(_zl0ecr&lt;=0.2,"通过","不满足"))</f>
        <v/>
      </c>
    </row>
    <row r="20" ht="15.5" customHeight="1">
      <c r="B20" s="31" t="inlineStr">
        <is>
          <t>光伏装机</t>
        </is>
      </c>
      <c r="C20" s="48" t="n">
        <v>100</v>
      </c>
      <c r="D20" s="24" t="inlineStr">
        <is>
          <t>MW</t>
        </is>
      </c>
    </row>
    <row r="21" ht="18" customHeight="1">
      <c r="B21" s="31" t="inlineStr">
        <is>
          <t>光伏年利用小时</t>
        </is>
      </c>
      <c r="C21" s="48" t="n">
        <v>1100</v>
      </c>
      <c r="D21" s="24" t="inlineStr">
        <is>
          <t>h</t>
        </is>
      </c>
      <c r="H21" s="26" t="inlineStr">
        <is>
          <t>投资与费用构成</t>
        </is>
      </c>
      <c r="I21" s="27" t="n"/>
      <c r="J21" s="27" t="n"/>
    </row>
    <row r="22" ht="15.5" customHeight="1">
      <c r="B22" s="31" t="inlineStr">
        <is>
          <t>风电装机</t>
        </is>
      </c>
      <c r="C22" s="48" t="n">
        <v>0</v>
      </c>
      <c r="D22" s="24" t="inlineStr">
        <is>
          <t>MW</t>
        </is>
      </c>
      <c r="H22" s="31" t="inlineStr">
        <is>
          <t>光伏投资</t>
        </is>
      </c>
      <c r="I22" s="49">
        <f>_zkh06o</f>
        <v/>
      </c>
      <c r="J22" s="24" t="inlineStr">
        <is>
          <t>万元</t>
        </is>
      </c>
    </row>
    <row r="23" ht="15.5" customHeight="1">
      <c r="B23" s="31" t="inlineStr">
        <is>
          <t>风电年利用小时</t>
        </is>
      </c>
      <c r="C23" s="48" t="n">
        <v>0</v>
      </c>
      <c r="D23" s="24" t="inlineStr">
        <is>
          <t>h</t>
        </is>
      </c>
      <c r="H23" s="31" t="inlineStr">
        <is>
          <t>风电投资</t>
        </is>
      </c>
      <c r="I23" s="49">
        <f>_z517d3</f>
        <v/>
      </c>
      <c r="J23" s="24" t="inlineStr">
        <is>
          <t>万元</t>
        </is>
      </c>
    </row>
    <row r="24" ht="15.5" customHeight="1">
      <c r="B24" s="31" t="inlineStr">
        <is>
          <t>储能功率</t>
        </is>
      </c>
      <c r="C24" s="48" t="n">
        <v>20</v>
      </c>
      <c r="D24" s="24" t="inlineStr">
        <is>
          <t>MW</t>
        </is>
      </c>
      <c r="H24" s="31" t="inlineStr">
        <is>
          <t>储能投资</t>
        </is>
      </c>
      <c r="I24" s="49">
        <f>_z67r2o</f>
        <v/>
      </c>
      <c r="J24" s="24" t="inlineStr">
        <is>
          <t>万元</t>
        </is>
      </c>
    </row>
    <row r="25" ht="15.5" customHeight="1">
      <c r="B25" s="31" t="inlineStr">
        <is>
          <t>储能容量</t>
        </is>
      </c>
      <c r="C25" s="48" t="n">
        <v>40</v>
      </c>
      <c r="D25" s="24" t="inlineStr">
        <is>
          <t>MWh</t>
        </is>
      </c>
      <c r="H25" s="31" t="inlineStr">
        <is>
          <t>专线及升压投资</t>
        </is>
      </c>
      <c r="I25" s="49">
        <f>_zbf04s</f>
        <v/>
      </c>
      <c r="J25" s="24" t="inlineStr">
        <is>
          <t>万元</t>
        </is>
      </c>
    </row>
    <row r="26" ht="15.5" customHeight="1">
      <c r="B26" s="31" t="inlineStr">
        <is>
          <t>接入公网容量（自主申报）</t>
        </is>
      </c>
      <c r="C26" s="48" t="n">
        <v>25000</v>
      </c>
      <c r="D26" s="24" t="inlineStr">
        <is>
          <t>kVA</t>
        </is>
      </c>
      <c r="H26" s="31" t="inlineStr">
        <is>
          <t>总投资</t>
        </is>
      </c>
      <c r="I26" s="49">
        <f>_z1tt59</f>
        <v/>
      </c>
      <c r="J26" s="24" t="inlineStr">
        <is>
          <t>万元</t>
        </is>
      </c>
    </row>
    <row r="27" ht="15.5" customHeight="1">
      <c r="B27" s="31" t="inlineStr">
        <is>
          <t>申报（合同）最大需量</t>
        </is>
      </c>
      <c r="C27" s="48" t="n">
        <v>20000</v>
      </c>
      <c r="D27" s="24" t="inlineStr">
        <is>
          <t>kW</t>
        </is>
      </c>
      <c r="H27" s="31" t="inlineStr">
        <is>
          <t>资本金</t>
        </is>
      </c>
      <c r="I27" s="49">
        <f>_zn0hoh</f>
        <v/>
      </c>
      <c r="J27" s="24" t="inlineStr">
        <is>
          <t>万元</t>
        </is>
      </c>
    </row>
    <row r="28" ht="15.5" customHeight="1">
      <c r="H28" s="31" t="inlineStr">
        <is>
          <t>贷款</t>
        </is>
      </c>
      <c r="I28" s="49">
        <f>_zmqr32</f>
        <v/>
      </c>
      <c r="J28" s="24" t="inlineStr">
        <is>
          <t>万元</t>
        </is>
      </c>
    </row>
    <row r="29" ht="18" customHeight="1">
      <c r="B29" s="26" t="inlineStr">
        <is>
          <t>B 电量</t>
        </is>
      </c>
      <c r="C29" s="27" t="n"/>
      <c r="D29" s="27" t="n"/>
      <c r="E29" s="27" t="n"/>
      <c r="H29" s="31" t="inlineStr">
        <is>
          <t>年输配电费</t>
        </is>
      </c>
      <c r="I29" s="49">
        <f>_z928ab</f>
        <v/>
      </c>
      <c r="J29" s="24" t="inlineStr">
        <is>
          <t>万元</t>
        </is>
      </c>
    </row>
    <row r="30" ht="15.5" customHeight="1">
      <c r="B30" s="31" t="inlineStr">
        <is>
          <t>用户年用电量</t>
        </is>
      </c>
      <c r="C30" s="48" t="n">
        <v>12000</v>
      </c>
      <c r="D30" s="24" t="inlineStr">
        <is>
          <t>万kWh</t>
        </is>
      </c>
      <c r="H30" s="31" t="inlineStr">
        <is>
          <t>年系统运行费</t>
        </is>
      </c>
      <c r="I30" s="49">
        <f>_zqnyts</f>
        <v/>
      </c>
      <c r="J30" s="24" t="inlineStr">
        <is>
          <t>万元</t>
        </is>
      </c>
    </row>
    <row r="31" ht="15.5" customHeight="1">
      <c r="B31" s="31" t="inlineStr">
        <is>
          <t>年自发自用电量</t>
        </is>
      </c>
      <c r="C31" s="48" t="n">
        <v>9000</v>
      </c>
      <c r="D31" s="24" t="inlineStr">
        <is>
          <t>万kWh</t>
        </is>
      </c>
      <c r="H31" s="31" t="inlineStr">
        <is>
          <t>年交叉补贴</t>
        </is>
      </c>
      <c r="I31" s="49">
        <f>_ze6p1m</f>
        <v/>
      </c>
      <c r="J31" s="24" t="inlineStr">
        <is>
          <t>万元</t>
        </is>
      </c>
    </row>
    <row r="32" ht="15.5" customHeight="1">
      <c r="B32" s="31" t="inlineStr">
        <is>
          <t>弃电率</t>
        </is>
      </c>
      <c r="C32" s="50" t="n">
        <v>0.02</v>
      </c>
      <c r="D32" s="24" t="inlineStr">
        <is>
          <t>%</t>
        </is>
      </c>
      <c r="H32" s="31" t="inlineStr">
        <is>
          <t>年政府性基金及附加</t>
        </is>
      </c>
      <c r="I32" s="49">
        <f>_zpzqxb</f>
        <v/>
      </c>
      <c r="J32" s="24" t="inlineStr">
        <is>
          <t>万元</t>
        </is>
      </c>
    </row>
    <row r="33" ht="15.5" customHeight="1">
      <c r="B33" s="31" t="inlineStr">
        <is>
          <t>年出力衰减率</t>
        </is>
      </c>
      <c r="C33" s="50" t="n">
        <v>0.005</v>
      </c>
      <c r="D33" s="24" t="inlineStr">
        <is>
          <t>%</t>
        </is>
      </c>
      <c r="H33" s="31" t="inlineStr">
        <is>
          <t>年直供电费</t>
        </is>
      </c>
      <c r="I33" s="49">
        <f>_zqhyli</f>
        <v/>
      </c>
      <c r="J33" s="24" t="inlineStr">
        <is>
          <t>万元</t>
        </is>
      </c>
    </row>
    <row r="34" ht="15.5" customHeight="1">
      <c r="H34" s="31" t="inlineStr">
        <is>
          <t>年市场购电费</t>
        </is>
      </c>
      <c r="I34" s="49">
        <f>_za7fy7</f>
        <v/>
      </c>
      <c r="J34" s="24" t="inlineStr">
        <is>
          <t>万元</t>
        </is>
      </c>
    </row>
    <row r="35" ht="18" customHeight="1">
      <c r="B35" s="26" t="inlineStr">
        <is>
          <t>C 电价与费用</t>
        </is>
      </c>
      <c r="C35" s="27" t="n"/>
      <c r="D35" s="27" t="n"/>
      <c r="E35" s="27" t="n"/>
      <c r="H35" s="31" t="inlineStr">
        <is>
          <t>年综合用电成本</t>
        </is>
      </c>
      <c r="I35" s="49">
        <f>_zvy62p</f>
        <v/>
      </c>
      <c r="J35" s="24" t="inlineStr">
        <is>
          <t>万元</t>
        </is>
      </c>
    </row>
    <row r="36" ht="15.5" customHeight="1">
      <c r="B36" s="31" t="inlineStr">
        <is>
          <t>直供电价（协商）</t>
        </is>
      </c>
      <c r="C36" s="48" t="n">
        <v>0.35</v>
      </c>
      <c r="D36" s="24" t="inlineStr">
        <is>
          <t>元/kWh</t>
        </is>
      </c>
      <c r="H36" s="31" t="inlineStr">
        <is>
          <t>电网购电对照成本</t>
        </is>
      </c>
      <c r="I36" s="49">
        <f>_zfzfsr</f>
        <v/>
      </c>
      <c r="J36" s="24" t="inlineStr">
        <is>
          <t>万元</t>
        </is>
      </c>
    </row>
    <row r="37" ht="15.5" customHeight="1">
      <c r="B37" s="31" t="inlineStr">
        <is>
          <t>下网市场购电价</t>
        </is>
      </c>
      <c r="C37" s="48" t="n">
        <v>0.55</v>
      </c>
      <c r="D37" s="24" t="inlineStr">
        <is>
          <t>元/kWh</t>
        </is>
      </c>
    </row>
    <row r="38" ht="18" customHeight="1">
      <c r="B38" s="31" t="inlineStr">
        <is>
          <t>电网购电对比到户价</t>
        </is>
      </c>
      <c r="C38" s="48" t="n">
        <v>0.62</v>
      </c>
      <c r="D38" s="24" t="inlineStr">
        <is>
          <t>元/kWh</t>
        </is>
      </c>
      <c r="H38" s="26" t="inlineStr">
        <is>
          <t>综合到户电价对比（元/kWh）</t>
        </is>
      </c>
      <c r="I38" s="27" t="n"/>
      <c r="J38" s="27" t="n"/>
    </row>
    <row r="39" ht="15.5" customHeight="1">
      <c r="B39" s="31" t="inlineStr">
        <is>
          <t>上网结算均价</t>
        </is>
      </c>
      <c r="C39" s="48" t="n">
        <v>0.2</v>
      </c>
      <c r="D39" s="24" t="inlineStr">
        <is>
          <t>元/kWh</t>
        </is>
      </c>
      <c r="H39" s="31" t="inlineStr">
        <is>
          <t>绿电直连综合到户电价</t>
        </is>
      </c>
      <c r="I39" s="40">
        <f>_z3179u</f>
        <v/>
      </c>
      <c r="J39" s="24" t="inlineStr">
        <is>
          <t>元/kWh</t>
        </is>
      </c>
    </row>
    <row r="40" ht="15.5" customHeight="1">
      <c r="B40" s="31" t="inlineStr">
        <is>
          <t>平均负荷率</t>
        </is>
      </c>
      <c r="C40" s="50" t="n">
        <v>0.55</v>
      </c>
      <c r="D40" s="24" t="inlineStr">
        <is>
          <t>%</t>
        </is>
      </c>
      <c r="H40" s="31" t="inlineStr">
        <is>
          <t>电网购电对比到户价</t>
        </is>
      </c>
      <c r="I40" s="40">
        <f>_zf2rqb</f>
        <v/>
      </c>
      <c r="J40" s="24" t="inlineStr">
        <is>
          <t>元/kWh</t>
        </is>
      </c>
    </row>
    <row r="41" ht="15.5" customHeight="1">
      <c r="B41" s="31" t="inlineStr">
        <is>
          <t>系统运行费单价</t>
        </is>
      </c>
      <c r="C41" s="48" t="n">
        <v>0.0209</v>
      </c>
      <c r="D41" s="24" t="inlineStr">
        <is>
          <t>元/kWh</t>
        </is>
      </c>
    </row>
    <row r="42" ht="15.5" customHeight="1">
      <c r="B42" s="31" t="inlineStr">
        <is>
          <t>政府性基金及附加单价</t>
        </is>
      </c>
      <c r="C42" s="48" t="n">
        <v>0.02717</v>
      </c>
      <c r="D42" s="24" t="inlineStr">
        <is>
          <t>元/kWh</t>
        </is>
      </c>
    </row>
    <row r="43" ht="15.5" customHeight="1">
      <c r="B43" s="31" t="inlineStr">
        <is>
          <t>交叉补贴单价（已并入系统运行费的省份填0）</t>
        </is>
      </c>
      <c r="C43" s="48" t="n">
        <v>0</v>
      </c>
      <c r="D43" s="24" t="inlineStr">
        <is>
          <t>元/kWh</t>
        </is>
      </c>
    </row>
    <row r="44" ht="15.5" customHeight="1">
      <c r="B44" s="31" t="inlineStr">
        <is>
          <t>绿证/CBAM折算单价（单列）</t>
        </is>
      </c>
      <c r="C44" s="48" t="n">
        <v>0.005</v>
      </c>
      <c r="D44" s="24" t="inlineStr">
        <is>
          <t>元/kWh</t>
        </is>
      </c>
    </row>
    <row r="45" ht="15.5" customHeight="1"/>
    <row r="46" ht="18" customHeight="1">
      <c r="B46" s="26" t="inlineStr">
        <is>
          <t>D 投资与财务</t>
        </is>
      </c>
      <c r="C46" s="27" t="n"/>
      <c r="D46" s="27" t="n"/>
      <c r="E46" s="27" t="n"/>
    </row>
    <row r="47" ht="15.5" customHeight="1">
      <c r="B47" s="31" t="inlineStr">
        <is>
          <t>光伏单位投资</t>
        </is>
      </c>
      <c r="C47" s="48" t="n">
        <v>3</v>
      </c>
      <c r="D47" s="24" t="inlineStr">
        <is>
          <t>元/W</t>
        </is>
      </c>
    </row>
    <row r="48" ht="15.5" customHeight="1">
      <c r="B48" s="31" t="inlineStr">
        <is>
          <t>风电单位投资</t>
        </is>
      </c>
      <c r="C48" s="48" t="n">
        <v>4.5</v>
      </c>
      <c r="D48" s="24" t="inlineStr">
        <is>
          <t>元/W</t>
        </is>
      </c>
    </row>
    <row r="49" ht="15.5" customHeight="1">
      <c r="B49" s="31" t="inlineStr">
        <is>
          <t>储能单位投资</t>
        </is>
      </c>
      <c r="C49" s="48" t="n">
        <v>1</v>
      </c>
      <c r="D49" s="24" t="inlineStr">
        <is>
          <t>元/Wh</t>
        </is>
      </c>
    </row>
    <row r="50" ht="15.5" customHeight="1">
      <c r="B50" s="31" t="inlineStr">
        <is>
          <t>专线及升压投资</t>
        </is>
      </c>
      <c r="C50" s="48" t="n">
        <v>6000</v>
      </c>
      <c r="D50" s="24" t="inlineStr">
        <is>
          <t>万元</t>
        </is>
      </c>
    </row>
    <row r="51" ht="15.5" customHeight="1">
      <c r="B51" s="31" t="inlineStr">
        <is>
          <t>资本金比例</t>
        </is>
      </c>
      <c r="C51" s="50" t="n">
        <v>0.3</v>
      </c>
      <c r="D51" s="24" t="inlineStr">
        <is>
          <t>%</t>
        </is>
      </c>
    </row>
    <row r="52" ht="15.5" customHeight="1">
      <c r="B52" s="31" t="inlineStr">
        <is>
          <t>贷款利率</t>
        </is>
      </c>
      <c r="C52" s="50" t="n">
        <v>0.045</v>
      </c>
      <c r="D52" s="24" t="inlineStr">
        <is>
          <t>%</t>
        </is>
      </c>
    </row>
    <row r="53" ht="15.5" customHeight="1">
      <c r="B53" s="31" t="inlineStr">
        <is>
          <t>贷款年限</t>
        </is>
      </c>
      <c r="C53" s="41" t="n">
        <v>15</v>
      </c>
      <c r="D53" s="24" t="inlineStr">
        <is>
          <t>年</t>
        </is>
      </c>
    </row>
    <row r="54" ht="15.5" customHeight="1">
      <c r="B54" s="31" t="inlineStr">
        <is>
          <t>运营期</t>
        </is>
      </c>
      <c r="C54" s="41" t="n">
        <v>25</v>
      </c>
      <c r="D54" s="24" t="inlineStr">
        <is>
          <t>年</t>
        </is>
      </c>
    </row>
    <row r="55" ht="15.5" customHeight="1">
      <c r="B55" s="31" t="inlineStr">
        <is>
          <t>运维费率</t>
        </is>
      </c>
      <c r="C55" s="50" t="n">
        <v>0.012</v>
      </c>
      <c r="D55" s="24" t="inlineStr">
        <is>
          <t>%</t>
        </is>
      </c>
    </row>
    <row r="56" ht="15.5" customHeight="1">
      <c r="B56" s="31" t="inlineStr">
        <is>
          <t>保险费率</t>
        </is>
      </c>
      <c r="C56" s="50" t="n">
        <v>0.0025</v>
      </c>
      <c r="D56" s="24" t="inlineStr">
        <is>
          <t>%</t>
        </is>
      </c>
    </row>
    <row r="57" ht="15.5" customHeight="1">
      <c r="B57" s="31" t="inlineStr">
        <is>
          <t>折旧年限</t>
        </is>
      </c>
      <c r="C57" s="41" t="n">
        <v>20</v>
      </c>
      <c r="D57" s="24" t="inlineStr">
        <is>
          <t>年</t>
        </is>
      </c>
    </row>
    <row r="58" ht="15.5" customHeight="1">
      <c r="B58" s="31" t="inlineStr">
        <is>
          <t>残值率</t>
        </is>
      </c>
      <c r="C58" s="50" t="n">
        <v>0.05</v>
      </c>
      <c r="D58" s="24" t="inlineStr">
        <is>
          <t>%</t>
        </is>
      </c>
    </row>
    <row r="59" ht="15.5" customHeight="1">
      <c r="B59" s="31" t="inlineStr">
        <is>
          <t>所得税率</t>
        </is>
      </c>
      <c r="C59" s="50" t="n">
        <v>0.25</v>
      </c>
      <c r="D59" s="24" t="inlineStr">
        <is>
          <t>%</t>
        </is>
      </c>
    </row>
    <row r="60" ht="15.5" customHeight="1">
      <c r="B60" s="31" t="inlineStr">
        <is>
          <t>可抵扣进项税比例</t>
        </is>
      </c>
      <c r="C60" s="50" t="n">
        <v>0.1</v>
      </c>
      <c r="D60" s="24" t="inlineStr">
        <is>
          <t>%</t>
        </is>
      </c>
    </row>
    <row r="61" ht="15.5" customHeight="1">
      <c r="B61" s="31" t="inlineStr">
        <is>
          <t>基准折现率</t>
        </is>
      </c>
      <c r="C61" s="50" t="n">
        <v>0.06</v>
      </c>
      <c r="D61" s="24" t="inlineStr">
        <is>
          <t>%</t>
        </is>
      </c>
    </row>
    <row r="62" ht="15.5" customHeight="1">
      <c r="B62" s="31" t="inlineStr">
        <is>
          <t>储能更换年份</t>
        </is>
      </c>
      <c r="C62" s="41" t="n">
        <v>12</v>
      </c>
      <c r="D62" s="24" t="inlineStr">
        <is>
          <t>第N年</t>
        </is>
      </c>
    </row>
    <row r="63" ht="15.5" customHeight="1">
      <c r="B63" s="31" t="inlineStr">
        <is>
          <t>更换费用比例</t>
        </is>
      </c>
      <c r="C63" s="50" t="n">
        <v>0.5</v>
      </c>
      <c r="D63" s="24" t="inlineStr">
        <is>
          <t>%</t>
        </is>
      </c>
    </row>
    <row r="64" ht="15.5" customHeight="1"/>
    <row r="65" ht="15.5" customHeight="1">
      <c r="B65" s="45">
        <f>IF(_z7fj0w&gt;25,"运营期超过25年上限：年度现金流表最长25年，当前结果不完整，请修改运营期或用介子九维小程序测算","")</f>
        <v/>
      </c>
    </row>
    <row r="66" ht="15.5" customHeight="1"/>
    <row r="67" ht="15.5" customHeight="1"/>
    <row r="68" ht="18" customHeight="1">
      <c r="B68" s="26" t="inlineStr">
        <is>
          <t>逐年现金流（万元）</t>
        </is>
      </c>
      <c r="C68" s="27" t="n"/>
      <c r="D68" s="27" t="n"/>
      <c r="E68" s="27" t="n"/>
    </row>
    <row r="69" ht="30" customHeight="1">
      <c r="B69" s="51" t="inlineStr">
        <is>
          <t>年份</t>
        </is>
      </c>
      <c r="C69" s="52" t="inlineStr">
        <is>
          <t>含税收入</t>
        </is>
      </c>
      <c r="D69" s="52" t="inlineStr">
        <is>
          <t>运维保险</t>
        </is>
      </c>
      <c r="E69" s="52" t="inlineStr">
        <is>
          <t>实缴增值税</t>
        </is>
      </c>
      <c r="F69" s="52" t="inlineStr">
        <is>
          <t>附加税费</t>
        </is>
      </c>
      <c r="G69" s="52" t="inlineStr">
        <is>
          <t>更换支出</t>
        </is>
      </c>
      <c r="H69" s="52" t="inlineStr">
        <is>
          <t>期末回收</t>
        </is>
      </c>
      <c r="I69" s="52" t="inlineStr">
        <is>
          <t>所得税（全投资）</t>
        </is>
      </c>
      <c r="J69" s="52" t="inlineStr">
        <is>
          <t>税后全投资净现金流</t>
        </is>
      </c>
      <c r="K69" s="52" t="inlineStr">
        <is>
          <t>累计</t>
        </is>
      </c>
      <c r="L69" s="53" t="inlineStr">
        <is>
          <t>资本金净现金流</t>
        </is>
      </c>
    </row>
    <row r="70" ht="15.5" customHeight="1">
      <c r="B70" s="54" t="n">
        <v>0</v>
      </c>
      <c r="C70" s="36">
        <f>'_引擎'!F47</f>
        <v/>
      </c>
      <c r="D70" s="36" t="n">
        <v>0</v>
      </c>
      <c r="E70" s="36">
        <f>'_引擎'!L47</f>
        <v/>
      </c>
      <c r="F70" s="36">
        <f>'_引擎'!N47</f>
        <v/>
      </c>
      <c r="G70" s="36">
        <f>'_引擎'!I47</f>
        <v/>
      </c>
      <c r="H70" s="36">
        <f>'_引擎'!AO47</f>
        <v/>
      </c>
      <c r="I70" s="36">
        <f>'_引擎'!AE47</f>
        <v/>
      </c>
      <c r="J70" s="36">
        <f>'_引擎'!AQ47</f>
        <v/>
      </c>
      <c r="K70" s="36">
        <f>'_引擎'!AS47</f>
        <v/>
      </c>
      <c r="L70" s="55">
        <f>'_引擎'!AR47</f>
        <v/>
      </c>
    </row>
    <row r="71" ht="15.5" customHeight="1">
      <c r="B71" s="54" t="n">
        <v>1</v>
      </c>
      <c r="C71" s="36">
        <f>'_引擎'!F48</f>
        <v/>
      </c>
      <c r="D71" s="36">
        <f>IF('_引擎'!B48,_zkfhzg,0)</f>
        <v/>
      </c>
      <c r="E71" s="36">
        <f>'_引擎'!L48</f>
        <v/>
      </c>
      <c r="F71" s="36">
        <f>'_引擎'!N48</f>
        <v/>
      </c>
      <c r="G71" s="36">
        <f>'_引擎'!I48</f>
        <v/>
      </c>
      <c r="H71" s="36">
        <f>'_引擎'!AO48</f>
        <v/>
      </c>
      <c r="I71" s="36">
        <f>'_引擎'!AE48</f>
        <v/>
      </c>
      <c r="J71" s="36">
        <f>'_引擎'!AQ48</f>
        <v/>
      </c>
      <c r="K71" s="36">
        <f>'_引擎'!AS48</f>
        <v/>
      </c>
      <c r="L71" s="55">
        <f>'_引擎'!AR48</f>
        <v/>
      </c>
    </row>
    <row r="72" ht="15.5" customHeight="1">
      <c r="B72" s="54" t="n">
        <v>2</v>
      </c>
      <c r="C72" s="36">
        <f>'_引擎'!F49</f>
        <v/>
      </c>
      <c r="D72" s="36">
        <f>IF('_引擎'!B49,_zkfhzg,0)</f>
        <v/>
      </c>
      <c r="E72" s="36">
        <f>'_引擎'!L49</f>
        <v/>
      </c>
      <c r="F72" s="36">
        <f>'_引擎'!N49</f>
        <v/>
      </c>
      <c r="G72" s="36">
        <f>'_引擎'!I49</f>
        <v/>
      </c>
      <c r="H72" s="36">
        <f>'_引擎'!AO49</f>
        <v/>
      </c>
      <c r="I72" s="36">
        <f>'_引擎'!AE49</f>
        <v/>
      </c>
      <c r="J72" s="36">
        <f>'_引擎'!AQ49</f>
        <v/>
      </c>
      <c r="K72" s="36">
        <f>'_引擎'!AS49</f>
        <v/>
      </c>
      <c r="L72" s="55">
        <f>'_引擎'!AR49</f>
        <v/>
      </c>
    </row>
    <row r="73" ht="15.5" customHeight="1">
      <c r="B73" s="54" t="n">
        <v>3</v>
      </c>
      <c r="C73" s="36">
        <f>'_引擎'!F50</f>
        <v/>
      </c>
      <c r="D73" s="36">
        <f>IF('_引擎'!B50,_zkfhzg,0)</f>
        <v/>
      </c>
      <c r="E73" s="36">
        <f>'_引擎'!L50</f>
        <v/>
      </c>
      <c r="F73" s="36">
        <f>'_引擎'!N50</f>
        <v/>
      </c>
      <c r="G73" s="36">
        <f>'_引擎'!I50</f>
        <v/>
      </c>
      <c r="H73" s="36">
        <f>'_引擎'!AO50</f>
        <v/>
      </c>
      <c r="I73" s="36">
        <f>'_引擎'!AE50</f>
        <v/>
      </c>
      <c r="J73" s="36">
        <f>'_引擎'!AQ50</f>
        <v/>
      </c>
      <c r="K73" s="36">
        <f>'_引擎'!AS50</f>
        <v/>
      </c>
      <c r="L73" s="55">
        <f>'_引擎'!AR50</f>
        <v/>
      </c>
    </row>
    <row r="74" ht="15.5" customHeight="1">
      <c r="B74" s="54" t="n">
        <v>4</v>
      </c>
      <c r="C74" s="36">
        <f>'_引擎'!F51</f>
        <v/>
      </c>
      <c r="D74" s="36">
        <f>IF('_引擎'!B51,_zkfhzg,0)</f>
        <v/>
      </c>
      <c r="E74" s="36">
        <f>'_引擎'!L51</f>
        <v/>
      </c>
      <c r="F74" s="36">
        <f>'_引擎'!N51</f>
        <v/>
      </c>
      <c r="G74" s="36">
        <f>'_引擎'!I51</f>
        <v/>
      </c>
      <c r="H74" s="36">
        <f>'_引擎'!AO51</f>
        <v/>
      </c>
      <c r="I74" s="36">
        <f>'_引擎'!AE51</f>
        <v/>
      </c>
      <c r="J74" s="36">
        <f>'_引擎'!AQ51</f>
        <v/>
      </c>
      <c r="K74" s="36">
        <f>'_引擎'!AS51</f>
        <v/>
      </c>
      <c r="L74" s="55">
        <f>'_引擎'!AR51</f>
        <v/>
      </c>
    </row>
    <row r="75" ht="15.5" customHeight="1">
      <c r="B75" s="54" t="n">
        <v>5</v>
      </c>
      <c r="C75" s="36">
        <f>'_引擎'!F52</f>
        <v/>
      </c>
      <c r="D75" s="36">
        <f>IF('_引擎'!B52,_zkfhzg,0)</f>
        <v/>
      </c>
      <c r="E75" s="36">
        <f>'_引擎'!L52</f>
        <v/>
      </c>
      <c r="F75" s="36">
        <f>'_引擎'!N52</f>
        <v/>
      </c>
      <c r="G75" s="36">
        <f>'_引擎'!I52</f>
        <v/>
      </c>
      <c r="H75" s="36">
        <f>'_引擎'!AO52</f>
        <v/>
      </c>
      <c r="I75" s="36">
        <f>'_引擎'!AE52</f>
        <v/>
      </c>
      <c r="J75" s="36">
        <f>'_引擎'!AQ52</f>
        <v/>
      </c>
      <c r="K75" s="36">
        <f>'_引擎'!AS52</f>
        <v/>
      </c>
      <c r="L75" s="55">
        <f>'_引擎'!AR52</f>
        <v/>
      </c>
    </row>
    <row r="76" ht="15.5" customHeight="1">
      <c r="B76" s="54" t="n">
        <v>6</v>
      </c>
      <c r="C76" s="36">
        <f>'_引擎'!F53</f>
        <v/>
      </c>
      <c r="D76" s="36">
        <f>IF('_引擎'!B53,_zkfhzg,0)</f>
        <v/>
      </c>
      <c r="E76" s="36">
        <f>'_引擎'!L53</f>
        <v/>
      </c>
      <c r="F76" s="36">
        <f>'_引擎'!N53</f>
        <v/>
      </c>
      <c r="G76" s="36">
        <f>'_引擎'!I53</f>
        <v/>
      </c>
      <c r="H76" s="36">
        <f>'_引擎'!AO53</f>
        <v/>
      </c>
      <c r="I76" s="36">
        <f>'_引擎'!AE53</f>
        <v/>
      </c>
      <c r="J76" s="36">
        <f>'_引擎'!AQ53</f>
        <v/>
      </c>
      <c r="K76" s="36">
        <f>'_引擎'!AS53</f>
        <v/>
      </c>
      <c r="L76" s="55">
        <f>'_引擎'!AR53</f>
        <v/>
      </c>
    </row>
    <row r="77" ht="15.5" customHeight="1">
      <c r="B77" s="54" t="n">
        <v>7</v>
      </c>
      <c r="C77" s="36">
        <f>'_引擎'!F54</f>
        <v/>
      </c>
      <c r="D77" s="36">
        <f>IF('_引擎'!B54,_zkfhzg,0)</f>
        <v/>
      </c>
      <c r="E77" s="36">
        <f>'_引擎'!L54</f>
        <v/>
      </c>
      <c r="F77" s="36">
        <f>'_引擎'!N54</f>
        <v/>
      </c>
      <c r="G77" s="36">
        <f>'_引擎'!I54</f>
        <v/>
      </c>
      <c r="H77" s="36">
        <f>'_引擎'!AO54</f>
        <v/>
      </c>
      <c r="I77" s="36">
        <f>'_引擎'!AE54</f>
        <v/>
      </c>
      <c r="J77" s="36">
        <f>'_引擎'!AQ54</f>
        <v/>
      </c>
      <c r="K77" s="36">
        <f>'_引擎'!AS54</f>
        <v/>
      </c>
      <c r="L77" s="55">
        <f>'_引擎'!AR54</f>
        <v/>
      </c>
    </row>
    <row r="78" ht="15.5" customHeight="1">
      <c r="B78" s="54" t="n">
        <v>8</v>
      </c>
      <c r="C78" s="36">
        <f>'_引擎'!F55</f>
        <v/>
      </c>
      <c r="D78" s="36">
        <f>IF('_引擎'!B55,_zkfhzg,0)</f>
        <v/>
      </c>
      <c r="E78" s="36">
        <f>'_引擎'!L55</f>
        <v/>
      </c>
      <c r="F78" s="36">
        <f>'_引擎'!N55</f>
        <v/>
      </c>
      <c r="G78" s="36">
        <f>'_引擎'!I55</f>
        <v/>
      </c>
      <c r="H78" s="36">
        <f>'_引擎'!AO55</f>
        <v/>
      </c>
      <c r="I78" s="36">
        <f>'_引擎'!AE55</f>
        <v/>
      </c>
      <c r="J78" s="36">
        <f>'_引擎'!AQ55</f>
        <v/>
      </c>
      <c r="K78" s="36">
        <f>'_引擎'!AS55</f>
        <v/>
      </c>
      <c r="L78" s="55">
        <f>'_引擎'!AR55</f>
        <v/>
      </c>
    </row>
    <row r="79" ht="15.5" customHeight="1">
      <c r="B79" s="54" t="n">
        <v>9</v>
      </c>
      <c r="C79" s="36">
        <f>'_引擎'!F56</f>
        <v/>
      </c>
      <c r="D79" s="36">
        <f>IF('_引擎'!B56,_zkfhzg,0)</f>
        <v/>
      </c>
      <c r="E79" s="36">
        <f>'_引擎'!L56</f>
        <v/>
      </c>
      <c r="F79" s="36">
        <f>'_引擎'!N56</f>
        <v/>
      </c>
      <c r="G79" s="36">
        <f>'_引擎'!I56</f>
        <v/>
      </c>
      <c r="H79" s="36">
        <f>'_引擎'!AO56</f>
        <v/>
      </c>
      <c r="I79" s="36">
        <f>'_引擎'!AE56</f>
        <v/>
      </c>
      <c r="J79" s="36">
        <f>'_引擎'!AQ56</f>
        <v/>
      </c>
      <c r="K79" s="36">
        <f>'_引擎'!AS56</f>
        <v/>
      </c>
      <c r="L79" s="55">
        <f>'_引擎'!AR56</f>
        <v/>
      </c>
    </row>
    <row r="80" ht="15.5" customHeight="1">
      <c r="B80" s="54" t="n">
        <v>10</v>
      </c>
      <c r="C80" s="36">
        <f>'_引擎'!F57</f>
        <v/>
      </c>
      <c r="D80" s="36">
        <f>IF('_引擎'!B57,_zkfhzg,0)</f>
        <v/>
      </c>
      <c r="E80" s="36">
        <f>'_引擎'!L57</f>
        <v/>
      </c>
      <c r="F80" s="36">
        <f>'_引擎'!N57</f>
        <v/>
      </c>
      <c r="G80" s="36">
        <f>'_引擎'!I57</f>
        <v/>
      </c>
      <c r="H80" s="36">
        <f>'_引擎'!AO57</f>
        <v/>
      </c>
      <c r="I80" s="36">
        <f>'_引擎'!AE57</f>
        <v/>
      </c>
      <c r="J80" s="36">
        <f>'_引擎'!AQ57</f>
        <v/>
      </c>
      <c r="K80" s="36">
        <f>'_引擎'!AS57</f>
        <v/>
      </c>
      <c r="L80" s="55">
        <f>'_引擎'!AR57</f>
        <v/>
      </c>
    </row>
    <row r="81" ht="15.5" customHeight="1">
      <c r="B81" s="54" t="n">
        <v>11</v>
      </c>
      <c r="C81" s="36">
        <f>'_引擎'!F58</f>
        <v/>
      </c>
      <c r="D81" s="36">
        <f>IF('_引擎'!B58,_zkfhzg,0)</f>
        <v/>
      </c>
      <c r="E81" s="36">
        <f>'_引擎'!L58</f>
        <v/>
      </c>
      <c r="F81" s="36">
        <f>'_引擎'!N58</f>
        <v/>
      </c>
      <c r="G81" s="36">
        <f>'_引擎'!I58</f>
        <v/>
      </c>
      <c r="H81" s="36">
        <f>'_引擎'!AO58</f>
        <v/>
      </c>
      <c r="I81" s="36">
        <f>'_引擎'!AE58</f>
        <v/>
      </c>
      <c r="J81" s="36">
        <f>'_引擎'!AQ58</f>
        <v/>
      </c>
      <c r="K81" s="36">
        <f>'_引擎'!AS58</f>
        <v/>
      </c>
      <c r="L81" s="55">
        <f>'_引擎'!AR58</f>
        <v/>
      </c>
    </row>
    <row r="82" ht="15.5" customHeight="1">
      <c r="B82" s="54" t="n">
        <v>12</v>
      </c>
      <c r="C82" s="36">
        <f>'_引擎'!F59</f>
        <v/>
      </c>
      <c r="D82" s="36">
        <f>IF('_引擎'!B59,_zkfhzg,0)</f>
        <v/>
      </c>
      <c r="E82" s="36">
        <f>'_引擎'!L59</f>
        <v/>
      </c>
      <c r="F82" s="36">
        <f>'_引擎'!N59</f>
        <v/>
      </c>
      <c r="G82" s="36">
        <f>'_引擎'!I59</f>
        <v/>
      </c>
      <c r="H82" s="36">
        <f>'_引擎'!AO59</f>
        <v/>
      </c>
      <c r="I82" s="36">
        <f>'_引擎'!AE59</f>
        <v/>
      </c>
      <c r="J82" s="36">
        <f>'_引擎'!AQ59</f>
        <v/>
      </c>
      <c r="K82" s="36">
        <f>'_引擎'!AS59</f>
        <v/>
      </c>
      <c r="L82" s="55">
        <f>'_引擎'!AR59</f>
        <v/>
      </c>
    </row>
    <row r="83" ht="15.5" customHeight="1">
      <c r="B83" s="54" t="n">
        <v>13</v>
      </c>
      <c r="C83" s="36">
        <f>'_引擎'!F60</f>
        <v/>
      </c>
      <c r="D83" s="36">
        <f>IF('_引擎'!B60,_zkfhzg,0)</f>
        <v/>
      </c>
      <c r="E83" s="36">
        <f>'_引擎'!L60</f>
        <v/>
      </c>
      <c r="F83" s="36">
        <f>'_引擎'!N60</f>
        <v/>
      </c>
      <c r="G83" s="36">
        <f>'_引擎'!I60</f>
        <v/>
      </c>
      <c r="H83" s="36">
        <f>'_引擎'!AO60</f>
        <v/>
      </c>
      <c r="I83" s="36">
        <f>'_引擎'!AE60</f>
        <v/>
      </c>
      <c r="J83" s="36">
        <f>'_引擎'!AQ60</f>
        <v/>
      </c>
      <c r="K83" s="36">
        <f>'_引擎'!AS60</f>
        <v/>
      </c>
      <c r="L83" s="55">
        <f>'_引擎'!AR60</f>
        <v/>
      </c>
    </row>
    <row r="84" ht="15.5" customHeight="1">
      <c r="B84" s="54" t="n">
        <v>14</v>
      </c>
      <c r="C84" s="36">
        <f>'_引擎'!F61</f>
        <v/>
      </c>
      <c r="D84" s="36">
        <f>IF('_引擎'!B61,_zkfhzg,0)</f>
        <v/>
      </c>
      <c r="E84" s="36">
        <f>'_引擎'!L61</f>
        <v/>
      </c>
      <c r="F84" s="36">
        <f>'_引擎'!N61</f>
        <v/>
      </c>
      <c r="G84" s="36">
        <f>'_引擎'!I61</f>
        <v/>
      </c>
      <c r="H84" s="36">
        <f>'_引擎'!AO61</f>
        <v/>
      </c>
      <c r="I84" s="36">
        <f>'_引擎'!AE61</f>
        <v/>
      </c>
      <c r="J84" s="36">
        <f>'_引擎'!AQ61</f>
        <v/>
      </c>
      <c r="K84" s="36">
        <f>'_引擎'!AS61</f>
        <v/>
      </c>
      <c r="L84" s="55">
        <f>'_引擎'!AR61</f>
        <v/>
      </c>
    </row>
    <row r="85" ht="15.5" customHeight="1">
      <c r="B85" s="54" t="n">
        <v>15</v>
      </c>
      <c r="C85" s="36">
        <f>'_引擎'!F62</f>
        <v/>
      </c>
      <c r="D85" s="36">
        <f>IF('_引擎'!B62,_zkfhzg,0)</f>
        <v/>
      </c>
      <c r="E85" s="36">
        <f>'_引擎'!L62</f>
        <v/>
      </c>
      <c r="F85" s="36">
        <f>'_引擎'!N62</f>
        <v/>
      </c>
      <c r="G85" s="36">
        <f>'_引擎'!I62</f>
        <v/>
      </c>
      <c r="H85" s="36">
        <f>'_引擎'!AO62</f>
        <v/>
      </c>
      <c r="I85" s="36">
        <f>'_引擎'!AE62</f>
        <v/>
      </c>
      <c r="J85" s="36">
        <f>'_引擎'!AQ62</f>
        <v/>
      </c>
      <c r="K85" s="36">
        <f>'_引擎'!AS62</f>
        <v/>
      </c>
      <c r="L85" s="55">
        <f>'_引擎'!AR62</f>
        <v/>
      </c>
    </row>
    <row r="86" ht="15.5" customHeight="1">
      <c r="B86" s="54" t="n">
        <v>16</v>
      </c>
      <c r="C86" s="36">
        <f>'_引擎'!F63</f>
        <v/>
      </c>
      <c r="D86" s="36">
        <f>IF('_引擎'!B63,_zkfhzg,0)</f>
        <v/>
      </c>
      <c r="E86" s="36">
        <f>'_引擎'!L63</f>
        <v/>
      </c>
      <c r="F86" s="36">
        <f>'_引擎'!N63</f>
        <v/>
      </c>
      <c r="G86" s="36">
        <f>'_引擎'!I63</f>
        <v/>
      </c>
      <c r="H86" s="36">
        <f>'_引擎'!AO63</f>
        <v/>
      </c>
      <c r="I86" s="36">
        <f>'_引擎'!AE63</f>
        <v/>
      </c>
      <c r="J86" s="36">
        <f>'_引擎'!AQ63</f>
        <v/>
      </c>
      <c r="K86" s="36">
        <f>'_引擎'!AS63</f>
        <v/>
      </c>
      <c r="L86" s="55">
        <f>'_引擎'!AR63</f>
        <v/>
      </c>
    </row>
    <row r="87" ht="15.5" customHeight="1">
      <c r="B87" s="54" t="n">
        <v>17</v>
      </c>
      <c r="C87" s="36">
        <f>'_引擎'!F64</f>
        <v/>
      </c>
      <c r="D87" s="36">
        <f>IF('_引擎'!B64,_zkfhzg,0)</f>
        <v/>
      </c>
      <c r="E87" s="36">
        <f>'_引擎'!L64</f>
        <v/>
      </c>
      <c r="F87" s="36">
        <f>'_引擎'!N64</f>
        <v/>
      </c>
      <c r="G87" s="36">
        <f>'_引擎'!I64</f>
        <v/>
      </c>
      <c r="H87" s="36">
        <f>'_引擎'!AO64</f>
        <v/>
      </c>
      <c r="I87" s="36">
        <f>'_引擎'!AE64</f>
        <v/>
      </c>
      <c r="J87" s="36">
        <f>'_引擎'!AQ64</f>
        <v/>
      </c>
      <c r="K87" s="36">
        <f>'_引擎'!AS64</f>
        <v/>
      </c>
      <c r="L87" s="55">
        <f>'_引擎'!AR64</f>
        <v/>
      </c>
    </row>
    <row r="88" ht="15.5" customHeight="1">
      <c r="B88" s="54" t="n">
        <v>18</v>
      </c>
      <c r="C88" s="36">
        <f>'_引擎'!F65</f>
        <v/>
      </c>
      <c r="D88" s="36">
        <f>IF('_引擎'!B65,_zkfhzg,0)</f>
        <v/>
      </c>
      <c r="E88" s="36">
        <f>'_引擎'!L65</f>
        <v/>
      </c>
      <c r="F88" s="36">
        <f>'_引擎'!N65</f>
        <v/>
      </c>
      <c r="G88" s="36">
        <f>'_引擎'!I65</f>
        <v/>
      </c>
      <c r="H88" s="36">
        <f>'_引擎'!AO65</f>
        <v/>
      </c>
      <c r="I88" s="36">
        <f>'_引擎'!AE65</f>
        <v/>
      </c>
      <c r="J88" s="36">
        <f>'_引擎'!AQ65</f>
        <v/>
      </c>
      <c r="K88" s="36">
        <f>'_引擎'!AS65</f>
        <v/>
      </c>
      <c r="L88" s="55">
        <f>'_引擎'!AR65</f>
        <v/>
      </c>
    </row>
    <row r="89" ht="15.5" customHeight="1">
      <c r="B89" s="54" t="n">
        <v>19</v>
      </c>
      <c r="C89" s="36">
        <f>'_引擎'!F66</f>
        <v/>
      </c>
      <c r="D89" s="36">
        <f>IF('_引擎'!B66,_zkfhzg,0)</f>
        <v/>
      </c>
      <c r="E89" s="36">
        <f>'_引擎'!L66</f>
        <v/>
      </c>
      <c r="F89" s="36">
        <f>'_引擎'!N66</f>
        <v/>
      </c>
      <c r="G89" s="36">
        <f>'_引擎'!I66</f>
        <v/>
      </c>
      <c r="H89" s="36">
        <f>'_引擎'!AO66</f>
        <v/>
      </c>
      <c r="I89" s="36">
        <f>'_引擎'!AE66</f>
        <v/>
      </c>
      <c r="J89" s="36">
        <f>'_引擎'!AQ66</f>
        <v/>
      </c>
      <c r="K89" s="36">
        <f>'_引擎'!AS66</f>
        <v/>
      </c>
      <c r="L89" s="55">
        <f>'_引擎'!AR66</f>
        <v/>
      </c>
    </row>
    <row r="90" ht="15.5" customHeight="1">
      <c r="B90" s="54" t="n">
        <v>20</v>
      </c>
      <c r="C90" s="36">
        <f>'_引擎'!F67</f>
        <v/>
      </c>
      <c r="D90" s="36">
        <f>IF('_引擎'!B67,_zkfhzg,0)</f>
        <v/>
      </c>
      <c r="E90" s="36">
        <f>'_引擎'!L67</f>
        <v/>
      </c>
      <c r="F90" s="36">
        <f>'_引擎'!N67</f>
        <v/>
      </c>
      <c r="G90" s="36">
        <f>'_引擎'!I67</f>
        <v/>
      </c>
      <c r="H90" s="36">
        <f>'_引擎'!AO67</f>
        <v/>
      </c>
      <c r="I90" s="36">
        <f>'_引擎'!AE67</f>
        <v/>
      </c>
      <c r="J90" s="36">
        <f>'_引擎'!AQ67</f>
        <v/>
      </c>
      <c r="K90" s="36">
        <f>'_引擎'!AS67</f>
        <v/>
      </c>
      <c r="L90" s="55">
        <f>'_引擎'!AR67</f>
        <v/>
      </c>
    </row>
    <row r="91" ht="15.5" customHeight="1">
      <c r="B91" s="54" t="n">
        <v>21</v>
      </c>
      <c r="C91" s="36">
        <f>'_引擎'!F68</f>
        <v/>
      </c>
      <c r="D91" s="36">
        <f>IF('_引擎'!B68,_zkfhzg,0)</f>
        <v/>
      </c>
      <c r="E91" s="36">
        <f>'_引擎'!L68</f>
        <v/>
      </c>
      <c r="F91" s="36">
        <f>'_引擎'!N68</f>
        <v/>
      </c>
      <c r="G91" s="36">
        <f>'_引擎'!I68</f>
        <v/>
      </c>
      <c r="H91" s="36">
        <f>'_引擎'!AO68</f>
        <v/>
      </c>
      <c r="I91" s="36">
        <f>'_引擎'!AE68</f>
        <v/>
      </c>
      <c r="J91" s="36">
        <f>'_引擎'!AQ68</f>
        <v/>
      </c>
      <c r="K91" s="36">
        <f>'_引擎'!AS68</f>
        <v/>
      </c>
      <c r="L91" s="55">
        <f>'_引擎'!AR68</f>
        <v/>
      </c>
    </row>
    <row r="92" ht="15.5" customHeight="1">
      <c r="B92" s="54" t="n">
        <v>22</v>
      </c>
      <c r="C92" s="36">
        <f>'_引擎'!F69</f>
        <v/>
      </c>
      <c r="D92" s="36">
        <f>IF('_引擎'!B69,_zkfhzg,0)</f>
        <v/>
      </c>
      <c r="E92" s="36">
        <f>'_引擎'!L69</f>
        <v/>
      </c>
      <c r="F92" s="36">
        <f>'_引擎'!N69</f>
        <v/>
      </c>
      <c r="G92" s="36">
        <f>'_引擎'!I69</f>
        <v/>
      </c>
      <c r="H92" s="36">
        <f>'_引擎'!AO69</f>
        <v/>
      </c>
      <c r="I92" s="36">
        <f>'_引擎'!AE69</f>
        <v/>
      </c>
      <c r="J92" s="36">
        <f>'_引擎'!AQ69</f>
        <v/>
      </c>
      <c r="K92" s="36">
        <f>'_引擎'!AS69</f>
        <v/>
      </c>
      <c r="L92" s="55">
        <f>'_引擎'!AR69</f>
        <v/>
      </c>
    </row>
    <row r="93" ht="15.5" customHeight="1">
      <c r="B93" s="54" t="n">
        <v>23</v>
      </c>
      <c r="C93" s="36">
        <f>'_引擎'!F70</f>
        <v/>
      </c>
      <c r="D93" s="36">
        <f>IF('_引擎'!B70,_zkfhzg,0)</f>
        <v/>
      </c>
      <c r="E93" s="36">
        <f>'_引擎'!L70</f>
        <v/>
      </c>
      <c r="F93" s="36">
        <f>'_引擎'!N70</f>
        <v/>
      </c>
      <c r="G93" s="36">
        <f>'_引擎'!I70</f>
        <v/>
      </c>
      <c r="H93" s="36">
        <f>'_引擎'!AO70</f>
        <v/>
      </c>
      <c r="I93" s="36">
        <f>'_引擎'!AE70</f>
        <v/>
      </c>
      <c r="J93" s="36">
        <f>'_引擎'!AQ70</f>
        <v/>
      </c>
      <c r="K93" s="36">
        <f>'_引擎'!AS70</f>
        <v/>
      </c>
      <c r="L93" s="55">
        <f>'_引擎'!AR70</f>
        <v/>
      </c>
    </row>
    <row r="94" ht="15.5" customHeight="1">
      <c r="B94" s="54" t="n">
        <v>24</v>
      </c>
      <c r="C94" s="36">
        <f>'_引擎'!F71</f>
        <v/>
      </c>
      <c r="D94" s="36">
        <f>IF('_引擎'!B71,_zkfhzg,0)</f>
        <v/>
      </c>
      <c r="E94" s="36">
        <f>'_引擎'!L71</f>
        <v/>
      </c>
      <c r="F94" s="36">
        <f>'_引擎'!N71</f>
        <v/>
      </c>
      <c r="G94" s="36">
        <f>'_引擎'!I71</f>
        <v/>
      </c>
      <c r="H94" s="36">
        <f>'_引擎'!AO71</f>
        <v/>
      </c>
      <c r="I94" s="36">
        <f>'_引擎'!AE71</f>
        <v/>
      </c>
      <c r="J94" s="36">
        <f>'_引擎'!AQ71</f>
        <v/>
      </c>
      <c r="K94" s="36">
        <f>'_引擎'!AS71</f>
        <v/>
      </c>
      <c r="L94" s="55">
        <f>'_引擎'!AR71</f>
        <v/>
      </c>
    </row>
    <row r="95" ht="15.5" customHeight="1">
      <c r="B95" s="56" t="n">
        <v>25</v>
      </c>
      <c r="C95" s="43">
        <f>'_引擎'!F72</f>
        <v/>
      </c>
      <c r="D95" s="43">
        <f>IF('_引擎'!B72,_zkfhzg,0)</f>
        <v/>
      </c>
      <c r="E95" s="43">
        <f>'_引擎'!L72</f>
        <v/>
      </c>
      <c r="F95" s="43">
        <f>'_引擎'!N72</f>
        <v/>
      </c>
      <c r="G95" s="43">
        <f>'_引擎'!I72</f>
        <v/>
      </c>
      <c r="H95" s="43">
        <f>'_引擎'!AO72</f>
        <v/>
      </c>
      <c r="I95" s="43">
        <f>'_引擎'!AE72</f>
        <v/>
      </c>
      <c r="J95" s="43">
        <f>'_引擎'!AQ72</f>
        <v/>
      </c>
      <c r="K95" s="43">
        <f>'_引擎'!AS72</f>
        <v/>
      </c>
      <c r="L95" s="57">
        <f>'_引擎'!AR72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conditionalFormatting sqref="J17">
    <cfRule type="expression" priority="1" dxfId="0">
      <formula>$J$17="不满足"</formula>
    </cfRule>
    <cfRule type="expression" priority="2" dxfId="1">
      <formula>NOT(ISERROR(SEARCH("通过",$J$17)))</formula>
    </cfRule>
  </conditionalFormatting>
  <conditionalFormatting sqref="J18">
    <cfRule type="expression" priority="3" dxfId="0">
      <formula>$J$18="不满足"</formula>
    </cfRule>
    <cfRule type="expression" priority="4" dxfId="1">
      <formula>NOT(ISERROR(SEARCH("通过",$J$18)))</formula>
    </cfRule>
  </conditionalFormatting>
  <conditionalFormatting sqref="J19">
    <cfRule type="expression" priority="5" dxfId="0">
      <formula>$J$19="不满足"</formula>
    </cfRule>
    <cfRule type="expression" priority="6" dxfId="1">
      <formula>NOT(ISERROR(SEARCH("通过",$J$19)))</formula>
    </cfRule>
  </conditionalFormatting>
  <conditionalFormatting sqref="J71:J95">
    <cfRule type="dataBar" priority="7">
      <dataBar showValue="1">
        <cfvo type="num" val="0"/>
        <cfvo type="max"/>
        <color rgb="001F3864"/>
      </dataBar>
    </cfRule>
  </conditionalFormatting>
  <dataValidations count="48">
    <dataValidation sqref="C5" showDropDown="0" showInputMessage="0" showErrorMessage="0" allowBlank="0" type="list">
      <formula1>"并网型,离网型"</formula1>
    </dataValidation>
    <dataValidation sqref="C6" showDropDown="0" showInputMessage="0" showErrorMessage="0" allowBlank="0" type="list">
      <formula1>"单一容量制,两部制"</formula1>
    </dataValidation>
    <dataValidation sqref="C7" showDropDown="0" showInputMessage="0" showErrorMessage="0" allowBlank="0" type="list">
      <formula1>"按容量,按需量"</formula1>
    </dataValidation>
    <dataValidation sqref="C8" showDropDown="0" showInputMessage="0" showErrorMessage="0" allowBlank="0" type="list">
      <formula1>"下网+自用,仅下网"</formula1>
    </dataValidation>
    <dataValidation sqref="C9" showDropDown="0" showInputMessage="0" showErrorMessage="0" allowBlank="0" type="list">
      <formula1>"是,否"</formula1>
    </dataValidation>
    <dataValidation sqref="C12" showDropDown="0" showInputMessage="0" showErrorMessage="0" allowBlank="0" type="list">
      <formula1>=_zqgx7v</formula1>
    </dataValidation>
    <dataValidation sqref="C13" showDropDown="0" showInputMessage="0" showErrorMessage="0" allowBlank="0" type="list">
      <formula1>"1~10(20)千伏,35千伏,110千伏,220千伏及以上"</formula1>
    </dataValidation>
    <dataValidation sqref="E14" showDropDown="0" showInputMessage="0" showErrorMessage="1" allowBlank="1" errorTitle="超出可填范围" error="输配电度电价（覆盖值）可填范围为0~1 元/kWh，请核实后重新填写。" type="decimal" operator="between">
      <formula1>0</formula1>
      <formula2>1</formula2>
    </dataValidation>
    <dataValidation sqref="E15" showDropDown="0" showInputMessage="0" showErrorMessage="1" allowBlank="1" errorTitle="超出可填范围" error="需量电价（覆盖值）可填范围为0~100 元/kW·月，请核实后重新填写。" type="decimal" operator="between">
      <formula1>0</formula1>
      <formula2>100</formula2>
    </dataValidation>
    <dataValidation sqref="E16" showDropDown="0" showInputMessage="0" showErrorMessage="1" allowBlank="1" errorTitle="超出可填范围" error="容量电价（覆盖值）可填范围为0~100 元/kVA·月，请核实后重新填写。" type="decimal" operator="between">
      <formula1>0</formula1>
      <formula2>100</formula2>
    </dataValidation>
    <dataValidation sqref="C20" showDropDown="0" showInputMessage="0" showErrorMessage="1" allowBlank="1" errorTitle="超出可填范围" error="光伏装机可填范围为0~10,000 MW，请核实后重新填写。" type="decimal" operator="between">
      <formula1>0</formula1>
      <formula2>10000</formula2>
    </dataValidation>
    <dataValidation sqref="C21" showDropDown="0" showInputMessage="0" showErrorMessage="1" allowBlank="1" errorTitle="超出可填范围" error="光伏年利用小时可填范围为0~8,760 h，请核实后重新填写。" type="decimal" operator="between">
      <formula1>0</formula1>
      <formula2>8760</formula2>
    </dataValidation>
    <dataValidation sqref="C22" showDropDown="0" showInputMessage="0" showErrorMessage="1" allowBlank="1" errorTitle="超出可填范围" error="风电装机可填范围为0~10,000 MW，请核实后重新填写。" type="decimal" operator="between">
      <formula1>0</formula1>
      <formula2>10000</formula2>
    </dataValidation>
    <dataValidation sqref="C23" showDropDown="0" showInputMessage="0" showErrorMessage="1" allowBlank="1" errorTitle="超出可填范围" error="风电年利用小时可填范围为0~8,760 h，请核实后重新填写。" type="decimal" operator="between">
      <formula1>0</formula1>
      <formula2>8760</formula2>
    </dataValidation>
    <dataValidation sqref="C24" showDropDown="0" showInputMessage="0" showErrorMessage="1" allowBlank="1" errorTitle="超出可填范围" error="储能功率可填范围为0~5,000 MW，请核实后重新填写。" type="decimal" operator="between">
      <formula1>0</formula1>
      <formula2>5000</formula2>
    </dataValidation>
    <dataValidation sqref="C25" showDropDown="0" showInputMessage="0" showErrorMessage="1" allowBlank="1" errorTitle="超出可填范围" error="储能容量可填范围为0~20,000 MWh，请核实后重新填写。" type="decimal" operator="between">
      <formula1>0</formula1>
      <formula2>20000</formula2>
    </dataValidation>
    <dataValidation sqref="C26" showDropDown="0" showInputMessage="0" showErrorMessage="1" allowBlank="1" errorTitle="超出可填范围" error="接入公网容量（自主申报）可填范围为0~10,000,000 kVA，请核实后重新填写。" type="decimal" operator="between">
      <formula1>0</formula1>
      <formula2>10000000</formula2>
    </dataValidation>
    <dataValidation sqref="C27" showDropDown="0" showInputMessage="0" showErrorMessage="1" allowBlank="1" errorTitle="超出可填范围" error="申报（合同）最大需量可填范围为0~10,000,000 kW，请核实后重新填写。" type="decimal" operator="between">
      <formula1>0</formula1>
      <formula2>10000000</formula2>
    </dataValidation>
    <dataValidation sqref="C30" showDropDown="0" showInputMessage="0" showErrorMessage="1" allowBlank="1" errorTitle="超出可填范围" error="用户年用电量可填范围为0~1,000,000 万kWh，请核实后重新填写。" type="decimal" operator="between">
      <formula1>0</formula1>
      <formula2>1000000</formula2>
    </dataValidation>
    <dataValidation sqref="C31" showDropDown="0" showInputMessage="0" showErrorMessage="1" allowBlank="1" errorTitle="超出可填范围" error="年自发自用电量可填范围为0~1,000,000 万kWh，请核实后重新填写。" type="decimal" operator="between">
      <formula1>0</formula1>
      <formula2>1000000</formula2>
    </dataValidation>
    <dataValidation sqref="C32" showDropDown="0" showInputMessage="0" showErrorMessage="1" allowBlank="1" errorTitle="超出可填范围" error="弃电率可填范围为0%~100%，请核实后重新填写。" type="decimal" operator="between">
      <formula1>0</formula1>
      <formula2>1</formula2>
    </dataValidation>
    <dataValidation sqref="C33" showDropDown="0" showInputMessage="0" showErrorMessage="1" allowBlank="1" errorTitle="超出可填范围" error="年出力衰减率可填范围为0%~10%，请核实后重新填写。" type="decimal" operator="between">
      <formula1>0</formula1>
      <formula2>0.1</formula2>
    </dataValidation>
    <dataValidation sqref="C36" showDropDown="0" showInputMessage="0" showErrorMessage="1" allowBlank="1" errorTitle="超出可填范围" error="直供电价（协商）可填范围为0~10 元/kWh，请核实后重新填写。" type="decimal" operator="between">
      <formula1>0</formula1>
      <formula2>10</formula2>
    </dataValidation>
    <dataValidation sqref="C37" showDropDown="0" showInputMessage="0" showErrorMessage="1" allowBlank="1" errorTitle="超出可填范围" error="下网市场购电价可填范围为0~10 元/kWh，请核实后重新填写。" type="decimal" operator="between">
      <formula1>0</formula1>
      <formula2>10</formula2>
    </dataValidation>
    <dataValidation sqref="C38" showDropDown="0" showInputMessage="0" showErrorMessage="1" allowBlank="1" errorTitle="超出可填范围" error="电网购电对比到户价可填范围为0~10 元/kWh，请核实后重新填写。" type="decimal" operator="between">
      <formula1>0</formula1>
      <formula2>10</formula2>
    </dataValidation>
    <dataValidation sqref="C39" showDropDown="0" showInputMessage="0" showErrorMessage="1" allowBlank="1" errorTitle="超出可填范围" error="上网结算均价可填范围为-1~10 元/kWh，请核实后重新填写。" type="decimal" operator="between">
      <formula1>-1</formula1>
      <formula2>10</formula2>
    </dataValidation>
    <dataValidation sqref="C40" showDropDown="0" showInputMessage="0" showErrorMessage="1" allowBlank="1" errorTitle="超出可填范围" error="平均负荷率可填范围为0%~100%，请核实后重新填写。" type="decimal" operator="between">
      <formula1>0</formula1>
      <formula2>1</formula2>
    </dataValidation>
    <dataValidation sqref="C41" showDropDown="0" showInputMessage="0" showErrorMessage="1" allowBlank="1" errorTitle="超出可填范围" error="系统运行费单价可填范围为0~0.3 元/kWh，请核实后重新填写。" type="decimal" operator="between">
      <formula1>0</formula1>
      <formula2>0.3</formula2>
    </dataValidation>
    <dataValidation sqref="C42" showDropDown="0" showInputMessage="0" showErrorMessage="1" allowBlank="1" errorTitle="超出可填范围" error="政府性基金及附加单价可填范围为0~0.1 元/kWh，请核实后重新填写。" type="decimal" operator="between">
      <formula1>0</formula1>
      <formula2>0.1</formula2>
    </dataValidation>
    <dataValidation sqref="C43" showDropDown="0" showInputMessage="0" showErrorMessage="1" allowBlank="1" errorTitle="超出可填范围" error="交叉补贴单价（已并入系统运行费的省份填0）可填范围为-1~1 元/kWh，请核实后重新填写。" type="decimal" operator="between">
      <formula1>-1</formula1>
      <formula2>1</formula2>
    </dataValidation>
    <dataValidation sqref="C44" showDropDown="0" showInputMessage="0" showErrorMessage="1" allowBlank="1" errorTitle="超出可填范围" error="绿证/CBAM折算单价（单列）可填范围为0~0.1 元/kWh，请核实后重新填写。" type="decimal" operator="between">
      <formula1>0</formula1>
      <formula2>0.1</formula2>
    </dataValidation>
    <dataValidation sqref="C47" showDropDown="0" showInputMessage="0" showErrorMessage="1" allowBlank="1" errorTitle="超出可填范围" error="光伏单位投资可填范围为0~10 元/W，请核实后重新填写。" type="decimal" operator="between">
      <formula1>0</formula1>
      <formula2>10</formula2>
    </dataValidation>
    <dataValidation sqref="C48" showDropDown="0" showInputMessage="0" showErrorMessage="1" allowBlank="1" errorTitle="超出可填范围" error="风电单位投资可填范围为0~10 元/W，请核实后重新填写。" type="decimal" operator="between">
      <formula1>0</formula1>
      <formula2>10</formula2>
    </dataValidation>
    <dataValidation sqref="C49" showDropDown="0" showInputMessage="0" showErrorMessage="1" allowBlank="1" errorTitle="超出可填范围" error="储能单位投资可填范围为0~5 元/Wh，请核实后重新填写。" type="decimal" operator="between">
      <formula1>0</formula1>
      <formula2>5</formula2>
    </dataValidation>
    <dataValidation sqref="C50" showDropDown="0" showInputMessage="0" showErrorMessage="1" allowBlank="1" errorTitle="超出可填范围" error="专线及升压投资可填范围为0~1,000,000 万元，请核实后重新填写。" type="decimal" operator="between">
      <formula1>0</formula1>
      <formula2>1000000</formula2>
    </dataValidation>
    <dataValidation sqref="C51" showDropDown="0" showInputMessage="0" showErrorMessage="1" allowBlank="1" errorTitle="超出可填范围" error="资本金比例应大于零且不超过100%。" type="decimal" operator="between">
      <formula1>0.0001</formula1>
      <formula2>1</formula2>
    </dataValidation>
    <dataValidation sqref="C52" showDropDown="0" showInputMessage="0" showErrorMessage="1" allowBlank="1" errorTitle="超出可填范围" error="贷款利率可填范围为0%~20%，请核实后重新填写。" type="decimal" operator="between">
      <formula1>0</formula1>
      <formula2>0.2</formula2>
    </dataValidation>
    <dataValidation sqref="C53" showDropDown="0" showInputMessage="0" showErrorMessage="1" allowBlank="1" errorTitle="超出可填范围" error="贷款年限须为1~60的整数。" type="whole" operator="between">
      <formula1>1</formula1>
      <formula2>60</formula2>
    </dataValidation>
    <dataValidation sqref="C54" showDropDown="0" showInputMessage="0" showErrorMessage="1" allowBlank="1" errorTitle="超出可填范围" error="运营期须为1~25的整数；本工作簿现金流表最长支持25年，更长评价期请用介子九维小程序在线测算。" type="whole" operator="between">
      <formula1>1</formula1>
      <formula2>25</formula2>
    </dataValidation>
    <dataValidation sqref="C55" showDropDown="0" showInputMessage="0" showErrorMessage="1" allowBlank="1" errorTitle="超出可填范围" error="运维费率可填范围为0%~10%，请核实后重新填写。" type="decimal" operator="between">
      <formula1>0</formula1>
      <formula2>0.1</formula2>
    </dataValidation>
    <dataValidation sqref="C56" showDropDown="0" showInputMessage="0" showErrorMessage="1" allowBlank="1" errorTitle="超出可填范围" error="保险费率可填范围为0%~5%，请核实后重新填写。" type="decimal" operator="between">
      <formula1>0</formula1>
      <formula2>0.05</formula2>
    </dataValidation>
    <dataValidation sqref="C57" showDropDown="0" showInputMessage="0" showErrorMessage="1" allowBlank="1" errorTitle="超出可填范围" error="折旧年限须为1~60的整数。" type="whole" operator="between">
      <formula1>1</formula1>
      <formula2>60</formula2>
    </dataValidation>
    <dataValidation sqref="C58" showDropDown="0" showInputMessage="0" showErrorMessage="1" allowBlank="1" errorTitle="超出可填范围" error="残值率可填范围为0%~20%，请核实后重新填写。" type="decimal" operator="between">
      <formula1>0</formula1>
      <formula2>0.2</formula2>
    </dataValidation>
    <dataValidation sqref="C59" showDropDown="0" showInputMessage="0" showErrorMessage="1" allowBlank="1" errorTitle="超出可填范围" error="所得税率可填范围为0%~35%，请核实后重新填写。" type="decimal" operator="between">
      <formula1>0</formula1>
      <formula2>0.35</formula2>
    </dataValidation>
    <dataValidation sqref="C60" showDropDown="0" showInputMessage="0" showErrorMessage="1" allowBlank="1" errorTitle="超出可填范围" error="可抵扣进项税比例应不为负且不超过13/113（约11.5%）。" type="decimal" operator="between">
      <formula1>0</formula1>
      <formula2>0.11504424778761063</formula2>
    </dataValidation>
    <dataValidation sqref="C61" showDropDown="0" showInputMessage="0" showErrorMessage="1" allowBlank="1" errorTitle="超出可填范围" error="基准折现率可填范围为0%~20%，请核实后重新填写。" type="decimal" operator="between">
      <formula1>0</formula1>
      <formula2>0.2</formula2>
    </dataValidation>
    <dataValidation sqref="C62" showDropDown="0" showInputMessage="0" showErrorMessage="1" allowBlank="1" errorTitle="超出可填范围" error="储能更换年份须为0~60的整数；填0或大于运营期表示不发生更换。" type="whole" operator="between">
      <formula1>0</formula1>
      <formula2>60</formula2>
    </dataValidation>
    <dataValidation sqref="C63" showDropDown="0" showInputMessage="0" showErrorMessage="1" allowBlank="1" errorTitle="超出可填范围" error="更换费用比例可填范围为0%~100%，请核实后重新填写。" type="decimal" operator="between">
      <formula1>0</formula1>
      <formula2>1</formula2>
    </dataValidation>
  </dataValidations>
  <pageMargins left="0.75" right="0.75" top="1" bottom="1" header="0.5" footer="0.5"/>
  <headerFooter>
    <oddHeader/>
    <oddFooter>&amp;L绿电直连经济测算 v1&amp;R介子九维 JIEZIJIUWEI · 版权所有</oddFooter>
    <evenHeader/>
    <evenFooter/>
    <firstHeader/>
    <firstFooter/>
  </headerFooter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E86"/>
  <sheetViews>
    <sheetView workbookViewId="0">
      <selection activeCell="A1" sqref="A1"/>
    </sheetView>
  </sheetViews>
  <sheetFormatPr baseColWidth="8" defaultRowHeight="15"/>
  <sheetData>
    <row r="1">
      <c r="A1" s="5" t="inlineStr">
        <is>
          <t>标量（引擎口径 2026-07；勿改）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A1" s="5" t="n"/>
      <c r="AB1" s="5" t="n"/>
      <c r="AC1" s="5" t="n"/>
      <c r="AD1" s="5" t="n"/>
      <c r="AE1" s="5" t="n"/>
      <c r="AF1" s="5" t="n"/>
      <c r="AG1" s="5" t="n"/>
      <c r="AH1" s="5" t="n"/>
      <c r="AI1" s="5" t="n"/>
      <c r="AJ1" s="5" t="n"/>
      <c r="AK1" s="5" t="n"/>
      <c r="AL1" s="5" t="n"/>
      <c r="AM1" s="5" t="n"/>
      <c r="AN1" s="5" t="n"/>
      <c r="AO1" s="5" t="n"/>
      <c r="AP1" s="5" t="n"/>
      <c r="AQ1" s="5" t="n"/>
      <c r="AR1" s="5" t="n"/>
      <c r="AS1" s="5" t="n"/>
      <c r="AT1" s="5" t="n"/>
      <c r="AU1" s="5" t="n"/>
      <c r="AV1" s="5" t="n"/>
      <c r="AW1" s="5" t="n"/>
      <c r="AX1" s="5" t="n"/>
      <c r="AY1" s="5" t="n"/>
      <c r="AZ1" s="5" t="n"/>
      <c r="BA1" s="5" t="n"/>
      <c r="BB1" s="5" t="n"/>
      <c r="BC1" s="5" t="n"/>
      <c r="BD1" s="5" t="n"/>
      <c r="BE1" s="5" t="n"/>
    </row>
    <row r="2">
      <c r="A2" s="5" t="inlineStr">
        <is>
          <t>gen_avail</t>
        </is>
      </c>
      <c r="B2" s="5">
        <f>(_z35wsg*_zix1lp+_z4kl0k*_z98gva)*0.1</f>
        <v/>
      </c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  <c r="AC2" s="5" t="n"/>
      <c r="AD2" s="5" t="n"/>
      <c r="AE2" s="5" t="n"/>
      <c r="AF2" s="5" t="n"/>
      <c r="AG2" s="5" t="n"/>
      <c r="AH2" s="5" t="n"/>
      <c r="AI2" s="5" t="n"/>
      <c r="AJ2" s="5" t="n"/>
      <c r="AK2" s="5" t="n"/>
      <c r="AL2" s="5" t="n"/>
      <c r="AM2" s="5" t="n"/>
      <c r="AN2" s="5" t="n"/>
      <c r="AO2" s="5" t="n"/>
      <c r="AP2" s="5" t="n"/>
      <c r="AQ2" s="5" t="n"/>
      <c r="AR2" s="5" t="n"/>
      <c r="AS2" s="5" t="n"/>
      <c r="AT2" s="5" t="n"/>
      <c r="AU2" s="5" t="n"/>
      <c r="AV2" s="5" t="n"/>
      <c r="AW2" s="5" t="n"/>
      <c r="AX2" s="5" t="n"/>
      <c r="AY2" s="5" t="n"/>
      <c r="AZ2" s="5" t="n"/>
      <c r="BA2" s="5" t="n"/>
      <c r="BB2" s="5" t="n"/>
      <c r="BC2" s="5" t="n"/>
      <c r="BD2" s="5" t="n"/>
      <c r="BE2" s="5" t="n"/>
    </row>
    <row r="3">
      <c r="A3" s="5" t="inlineStr">
        <is>
          <t>gen_net</t>
        </is>
      </c>
      <c r="B3" s="5">
        <f>_zstij9*(1-_zvtsqd)</f>
        <v/>
      </c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  <c r="AB3" s="5" t="n"/>
      <c r="AC3" s="5" t="n"/>
      <c r="AD3" s="5" t="n"/>
      <c r="AE3" s="5" t="n"/>
      <c r="AF3" s="5" t="n"/>
      <c r="AG3" s="5" t="n"/>
      <c r="AH3" s="5" t="n"/>
      <c r="AI3" s="5" t="n"/>
      <c r="AJ3" s="5" t="n"/>
      <c r="AK3" s="5" t="n"/>
      <c r="AL3" s="5" t="n"/>
      <c r="AM3" s="5" t="n"/>
      <c r="AN3" s="5" t="n"/>
      <c r="AO3" s="5" t="n"/>
      <c r="AP3" s="5" t="n"/>
      <c r="AQ3" s="5" t="n"/>
      <c r="AR3" s="5" t="n"/>
      <c r="AS3" s="5" t="n"/>
      <c r="AT3" s="5" t="n"/>
      <c r="AU3" s="5" t="n"/>
      <c r="AV3" s="5" t="n"/>
      <c r="AW3" s="5" t="n"/>
      <c r="AX3" s="5" t="n"/>
      <c r="AY3" s="5" t="n"/>
      <c r="AZ3" s="5" t="n"/>
      <c r="BA3" s="5" t="n"/>
      <c r="BB3" s="5" t="n"/>
      <c r="BC3" s="5" t="n"/>
      <c r="BD3" s="5" t="n"/>
      <c r="BE3" s="5" t="n"/>
    </row>
    <row r="4">
      <c r="A4" s="5" t="inlineStr">
        <is>
          <t>self_use</t>
        </is>
      </c>
      <c r="B4" s="5">
        <f>IF((_zkrpcw="离网型"),MIN(_z6mxd8,_zs8nv3,_zftf5w),MIN(_z6mxd8,_zs8nv3))</f>
        <v/>
      </c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  <c r="AC4" s="5" t="n"/>
      <c r="AD4" s="5" t="n"/>
      <c r="AE4" s="5" t="n"/>
      <c r="AF4" s="5" t="n"/>
      <c r="AG4" s="5" t="n"/>
      <c r="AH4" s="5" t="n"/>
      <c r="AI4" s="5" t="n"/>
      <c r="AJ4" s="5" t="n"/>
      <c r="AK4" s="5" t="n"/>
      <c r="AL4" s="5" t="n"/>
      <c r="AM4" s="5" t="n"/>
      <c r="AN4" s="5" t="n"/>
      <c r="AO4" s="5" t="n"/>
      <c r="AP4" s="5" t="n"/>
      <c r="AQ4" s="5" t="n"/>
      <c r="AR4" s="5" t="n"/>
      <c r="AS4" s="5" t="n"/>
      <c r="AT4" s="5" t="n"/>
      <c r="AU4" s="5" t="n"/>
      <c r="AV4" s="5" t="n"/>
      <c r="AW4" s="5" t="n"/>
      <c r="AX4" s="5" t="n"/>
      <c r="AY4" s="5" t="n"/>
      <c r="AZ4" s="5" t="n"/>
      <c r="BA4" s="5" t="n"/>
      <c r="BB4" s="5" t="n"/>
      <c r="BC4" s="5" t="n"/>
      <c r="BD4" s="5" t="n"/>
      <c r="BE4" s="5" t="n"/>
    </row>
    <row r="5">
      <c r="A5" s="5" t="inlineStr">
        <is>
          <t>export</t>
        </is>
      </c>
      <c r="B5" s="5">
        <f>IF((_zkrpcw="离网型"),0,MAX(_zs8nv3-_zt11ik,0))</f>
        <v/>
      </c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</row>
    <row r="6">
      <c r="A6" s="5" t="inlineStr">
        <is>
          <t>downstream</t>
        </is>
      </c>
      <c r="B6" s="5">
        <f>IF((_zkrpcw="离网型"),0,MAX(_zftf5w-_zt11ik,0))</f>
        <v/>
      </c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  <c r="AC6" s="5" t="n"/>
      <c r="AD6" s="5" t="n"/>
      <c r="AE6" s="5" t="n"/>
      <c r="AF6" s="5" t="n"/>
      <c r="AG6" s="5" t="n"/>
      <c r="AH6" s="5" t="n"/>
      <c r="AI6" s="5" t="n"/>
      <c r="AJ6" s="5" t="n"/>
      <c r="AK6" s="5" t="n"/>
      <c r="AL6" s="5" t="n"/>
      <c r="AM6" s="5" t="n"/>
      <c r="AN6" s="5" t="n"/>
      <c r="AO6" s="5" t="n"/>
      <c r="AP6" s="5" t="n"/>
      <c r="AQ6" s="5" t="n"/>
      <c r="AR6" s="5" t="n"/>
      <c r="AS6" s="5" t="n"/>
      <c r="AT6" s="5" t="n"/>
      <c r="AU6" s="5" t="n"/>
      <c r="AV6" s="5" t="n"/>
      <c r="AW6" s="5" t="n"/>
      <c r="AX6" s="5" t="n"/>
      <c r="AY6" s="5" t="n"/>
      <c r="AZ6" s="5" t="n"/>
      <c r="BA6" s="5" t="n"/>
      <c r="BB6" s="5" t="n"/>
      <c r="BC6" s="5" t="n"/>
      <c r="BD6" s="5" t="n"/>
      <c r="BE6" s="5" t="n"/>
    </row>
    <row r="7">
      <c r="A7" s="5" t="inlineStr">
        <is>
          <t>ratio_self_gen</t>
        </is>
      </c>
      <c r="B7" s="5">
        <f>IF(_zstij9&gt;0,_zt11ik/_zstij9,0)</f>
        <v/>
      </c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  <c r="AC7" s="5" t="n"/>
      <c r="AD7" s="5" t="n"/>
      <c r="AE7" s="5" t="n"/>
      <c r="AF7" s="5" t="n"/>
      <c r="AG7" s="5" t="n"/>
      <c r="AH7" s="5" t="n"/>
      <c r="AI7" s="5" t="n"/>
      <c r="AJ7" s="5" t="n"/>
      <c r="AK7" s="5" t="n"/>
      <c r="AL7" s="5" t="n"/>
      <c r="AM7" s="5" t="n"/>
      <c r="AN7" s="5" t="n"/>
      <c r="AO7" s="5" t="n"/>
      <c r="AP7" s="5" t="n"/>
      <c r="AQ7" s="5" t="n"/>
      <c r="AR7" s="5" t="n"/>
      <c r="AS7" s="5" t="n"/>
      <c r="AT7" s="5" t="n"/>
      <c r="AU7" s="5" t="n"/>
      <c r="AV7" s="5" t="n"/>
      <c r="AW7" s="5" t="n"/>
      <c r="AX7" s="5" t="n"/>
      <c r="AY7" s="5" t="n"/>
      <c r="AZ7" s="5" t="n"/>
      <c r="BA7" s="5" t="n"/>
      <c r="BB7" s="5" t="n"/>
      <c r="BC7" s="5" t="n"/>
      <c r="BD7" s="5" t="n"/>
      <c r="BE7" s="5" t="n"/>
    </row>
    <row r="8">
      <c r="A8" s="5" t="inlineStr">
        <is>
          <t>ratio_self_load</t>
        </is>
      </c>
      <c r="B8" s="5">
        <f>IF(_zftf5w&gt;0,_zt11ik/_zftf5w,0)</f>
        <v/>
      </c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  <c r="AC8" s="5" t="n"/>
      <c r="AD8" s="5" t="n"/>
      <c r="AE8" s="5" t="n"/>
      <c r="AF8" s="5" t="n"/>
      <c r="AG8" s="5" t="n"/>
      <c r="AH8" s="5" t="n"/>
      <c r="AI8" s="5" t="n"/>
      <c r="AJ8" s="5" t="n"/>
      <c r="AK8" s="5" t="n"/>
      <c r="AL8" s="5" t="n"/>
      <c r="AM8" s="5" t="n"/>
      <c r="AN8" s="5" t="n"/>
      <c r="AO8" s="5" t="n"/>
      <c r="AP8" s="5" t="n"/>
      <c r="AQ8" s="5" t="n"/>
      <c r="AR8" s="5" t="n"/>
      <c r="AS8" s="5" t="n"/>
      <c r="AT8" s="5" t="n"/>
      <c r="AU8" s="5" t="n"/>
      <c r="AV8" s="5" t="n"/>
      <c r="AW8" s="5" t="n"/>
      <c r="AX8" s="5" t="n"/>
      <c r="AY8" s="5" t="n"/>
      <c r="AZ8" s="5" t="n"/>
      <c r="BA8" s="5" t="n"/>
      <c r="BB8" s="5" t="n"/>
      <c r="BC8" s="5" t="n"/>
      <c r="BD8" s="5" t="n"/>
      <c r="BE8" s="5" t="n"/>
    </row>
    <row r="9">
      <c r="A9" s="5" t="inlineStr">
        <is>
          <t>ratio_export_gen</t>
        </is>
      </c>
      <c r="B9" s="5">
        <f>IF(_zstij9&gt;0,_z5gr99/_zstij9,0)</f>
        <v/>
      </c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  <c r="AC9" s="5" t="n"/>
      <c r="AD9" s="5" t="n"/>
      <c r="AE9" s="5" t="n"/>
      <c r="AF9" s="5" t="n"/>
      <c r="AG9" s="5" t="n"/>
      <c r="AH9" s="5" t="n"/>
      <c r="AI9" s="5" t="n"/>
      <c r="AJ9" s="5" t="n"/>
      <c r="AK9" s="5" t="n"/>
      <c r="AL9" s="5" t="n"/>
      <c r="AM9" s="5" t="n"/>
      <c r="AN9" s="5" t="n"/>
      <c r="AO9" s="5" t="n"/>
      <c r="AP9" s="5" t="n"/>
      <c r="AQ9" s="5" t="n"/>
      <c r="AR9" s="5" t="n"/>
      <c r="AS9" s="5" t="n"/>
      <c r="AT9" s="5" t="n"/>
      <c r="AU9" s="5" t="n"/>
      <c r="AV9" s="5" t="n"/>
      <c r="AW9" s="5" t="n"/>
      <c r="AX9" s="5" t="n"/>
      <c r="AY9" s="5" t="n"/>
      <c r="AZ9" s="5" t="n"/>
      <c r="BA9" s="5" t="n"/>
      <c r="BB9" s="5" t="n"/>
      <c r="BC9" s="5" t="n"/>
      <c r="BD9" s="5" t="n"/>
      <c r="BE9" s="5" t="n"/>
    </row>
    <row r="10">
      <c r="A10" s="5" t="inlineStr">
        <is>
          <t>base_cap_fee</t>
        </is>
      </c>
      <c r="B10" s="5">
        <f>IF((_z3xkci="按需量"),_zx32ce*_zzoaus*12,_zksy9m*_zbhssj*12)</f>
        <v/>
      </c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  <c r="AC10" s="5" t="n"/>
      <c r="AD10" s="5" t="n"/>
      <c r="AE10" s="5" t="n"/>
      <c r="AF10" s="5" t="n"/>
      <c r="AG10" s="5" t="n"/>
      <c r="AH10" s="5" t="n"/>
      <c r="AI10" s="5" t="n"/>
      <c r="AJ10" s="5" t="n"/>
      <c r="AK10" s="5" t="n"/>
      <c r="AL10" s="5" t="n"/>
      <c r="AM10" s="5" t="n"/>
      <c r="AN10" s="5" t="n"/>
      <c r="AO10" s="5" t="n"/>
      <c r="AP10" s="5" t="n"/>
      <c r="AQ10" s="5" t="n"/>
      <c r="AR10" s="5" t="n"/>
      <c r="AS10" s="5" t="n"/>
      <c r="AT10" s="5" t="n"/>
      <c r="AU10" s="5" t="n"/>
      <c r="AV10" s="5" t="n"/>
      <c r="AW10" s="5" t="n"/>
      <c r="AX10" s="5" t="n"/>
      <c r="AY10" s="5" t="n"/>
      <c r="AZ10" s="5" t="n"/>
      <c r="BA10" s="5" t="n"/>
      <c r="BB10" s="5" t="n"/>
      <c r="BC10" s="5" t="n"/>
      <c r="BD10" s="5" t="n"/>
      <c r="BE10" s="5" t="n"/>
    </row>
    <row r="11">
      <c r="A11" s="5" t="inlineStr">
        <is>
          <t>td_fee</t>
        </is>
      </c>
      <c r="B11" s="5">
        <f>IF((_zkrpcw="离网型"),0,IF((_zlj03i="单一容量制"),(_zm650r+_zp8xhg*_z3m5k2*730*12*_zbhssj)/10000,_zm650r/10000+_zp8xhg*(_zsbxps+_zt11ik)))</f>
        <v/>
      </c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  <c r="AC11" s="5" t="n"/>
      <c r="AD11" s="5" t="n"/>
      <c r="AE11" s="5" t="n"/>
      <c r="AF11" s="5" t="n"/>
      <c r="AG11" s="5" t="n"/>
      <c r="AH11" s="5" t="n"/>
      <c r="AI11" s="5" t="n"/>
      <c r="AJ11" s="5" t="n"/>
      <c r="AK11" s="5" t="n"/>
      <c r="AL11" s="5" t="n"/>
      <c r="AM11" s="5" t="n"/>
      <c r="AN11" s="5" t="n"/>
      <c r="AO11" s="5" t="n"/>
      <c r="AP11" s="5" t="n"/>
      <c r="AQ11" s="5" t="n"/>
      <c r="AR11" s="5" t="n"/>
      <c r="AS11" s="5" t="n"/>
      <c r="AT11" s="5" t="n"/>
      <c r="AU11" s="5" t="n"/>
      <c r="AV11" s="5" t="n"/>
      <c r="AW11" s="5" t="n"/>
      <c r="AX11" s="5" t="n"/>
      <c r="AY11" s="5" t="n"/>
      <c r="AZ11" s="5" t="n"/>
      <c r="BA11" s="5" t="n"/>
      <c r="BB11" s="5" t="n"/>
      <c r="BC11" s="5" t="n"/>
      <c r="BD11" s="5" t="n"/>
      <c r="BE11" s="5" t="n"/>
    </row>
    <row r="12">
      <c r="A12" s="5" t="inlineStr">
        <is>
          <t>sys_fee</t>
        </is>
      </c>
      <c r="B12" s="5">
        <f>IF((_zkrpcw="离网型"),0,_z5ctcx*_zsbxps)</f>
        <v/>
      </c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  <c r="AC12" s="5" t="n"/>
      <c r="AD12" s="5" t="n"/>
      <c r="AE12" s="5" t="n"/>
      <c r="AF12" s="5" t="n"/>
      <c r="AG12" s="5" t="n"/>
      <c r="AH12" s="5" t="n"/>
      <c r="AI12" s="5" t="n"/>
      <c r="AJ12" s="5" t="n"/>
      <c r="AK12" s="5" t="n"/>
      <c r="AL12" s="5" t="n"/>
      <c r="AM12" s="5" t="n"/>
      <c r="AN12" s="5" t="n"/>
      <c r="AO12" s="5" t="n"/>
      <c r="AP12" s="5" t="n"/>
      <c r="AQ12" s="5" t="n"/>
      <c r="AR12" s="5" t="n"/>
      <c r="AS12" s="5" t="n"/>
      <c r="AT12" s="5" t="n"/>
      <c r="AU12" s="5" t="n"/>
      <c r="AV12" s="5" t="n"/>
      <c r="AW12" s="5" t="n"/>
      <c r="AX12" s="5" t="n"/>
      <c r="AY12" s="5" t="n"/>
      <c r="AZ12" s="5" t="n"/>
      <c r="BA12" s="5" t="n"/>
      <c r="BB12" s="5" t="n"/>
      <c r="BC12" s="5" t="n"/>
      <c r="BD12" s="5" t="n"/>
      <c r="BE12" s="5" t="n"/>
    </row>
    <row r="13">
      <c r="A13" s="5" t="inlineStr">
        <is>
          <t>cross_fee</t>
        </is>
      </c>
      <c r="B13" s="5">
        <f>IF((_zkrpcw="离网型"),0,_zw04od*_zsbxps)</f>
        <v/>
      </c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  <c r="AC13" s="5" t="n"/>
      <c r="AD13" s="5" t="n"/>
      <c r="AE13" s="5" t="n"/>
      <c r="AF13" s="5" t="n"/>
      <c r="AG13" s="5" t="n"/>
      <c r="AH13" s="5" t="n"/>
      <c r="AI13" s="5" t="n"/>
      <c r="AJ13" s="5" t="n"/>
      <c r="AK13" s="5" t="n"/>
      <c r="AL13" s="5" t="n"/>
      <c r="AM13" s="5" t="n"/>
      <c r="AN13" s="5" t="n"/>
      <c r="AO13" s="5" t="n"/>
      <c r="AP13" s="5" t="n"/>
      <c r="AQ13" s="5" t="n"/>
      <c r="AR13" s="5" t="n"/>
      <c r="AS13" s="5" t="n"/>
      <c r="AT13" s="5" t="n"/>
      <c r="AU13" s="5" t="n"/>
      <c r="AV13" s="5" t="n"/>
      <c r="AW13" s="5" t="n"/>
      <c r="AX13" s="5" t="n"/>
      <c r="AY13" s="5" t="n"/>
      <c r="AZ13" s="5" t="n"/>
      <c r="BA13" s="5" t="n"/>
      <c r="BB13" s="5" t="n"/>
      <c r="BC13" s="5" t="n"/>
      <c r="BD13" s="5" t="n"/>
      <c r="BE13" s="5" t="n"/>
    </row>
    <row r="14">
      <c r="A14" s="5" t="inlineStr">
        <is>
          <t>fund_base</t>
        </is>
      </c>
      <c r="B14" s="5">
        <f>IF((_zkrpcw="离网型"),_zt11ik,_zsbxps+IF((_zcshgi="下网+自用"),_zt11ik,0))</f>
        <v/>
      </c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  <c r="AD14" s="5" t="n"/>
      <c r="AE14" s="5" t="n"/>
      <c r="AF14" s="5" t="n"/>
      <c r="AG14" s="5" t="n"/>
      <c r="AH14" s="5" t="n"/>
      <c r="AI14" s="5" t="n"/>
      <c r="AJ14" s="5" t="n"/>
      <c r="AK14" s="5" t="n"/>
      <c r="AL14" s="5" t="n"/>
      <c r="AM14" s="5" t="n"/>
      <c r="AN14" s="5" t="n"/>
      <c r="AO14" s="5" t="n"/>
      <c r="AP14" s="5" t="n"/>
      <c r="AQ14" s="5" t="n"/>
      <c r="AR14" s="5" t="n"/>
      <c r="AS14" s="5" t="n"/>
      <c r="AT14" s="5" t="n"/>
      <c r="AU14" s="5" t="n"/>
      <c r="AV14" s="5" t="n"/>
      <c r="AW14" s="5" t="n"/>
      <c r="AX14" s="5" t="n"/>
      <c r="AY14" s="5" t="n"/>
      <c r="AZ14" s="5" t="n"/>
      <c r="BA14" s="5" t="n"/>
      <c r="BB14" s="5" t="n"/>
      <c r="BC14" s="5" t="n"/>
      <c r="BD14" s="5" t="n"/>
      <c r="BE14" s="5" t="n"/>
    </row>
    <row r="15">
      <c r="A15" s="5" t="inlineStr">
        <is>
          <t>fund_fee</t>
        </is>
      </c>
      <c r="B15" s="5">
        <f>_z78i0e*_ztkj9g</f>
        <v/>
      </c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  <c r="AC15" s="5" t="n"/>
      <c r="AD15" s="5" t="n"/>
      <c r="AE15" s="5" t="n"/>
      <c r="AF15" s="5" t="n"/>
      <c r="AG15" s="5" t="n"/>
      <c r="AH15" s="5" t="n"/>
      <c r="AI15" s="5" t="n"/>
      <c r="AJ15" s="5" t="n"/>
      <c r="AK15" s="5" t="n"/>
      <c r="AL15" s="5" t="n"/>
      <c r="AM15" s="5" t="n"/>
      <c r="AN15" s="5" t="n"/>
      <c r="AO15" s="5" t="n"/>
      <c r="AP15" s="5" t="n"/>
      <c r="AQ15" s="5" t="n"/>
      <c r="AR15" s="5" t="n"/>
      <c r="AS15" s="5" t="n"/>
      <c r="AT15" s="5" t="n"/>
      <c r="AU15" s="5" t="n"/>
      <c r="AV15" s="5" t="n"/>
      <c r="AW15" s="5" t="n"/>
      <c r="AX15" s="5" t="n"/>
      <c r="AY15" s="5" t="n"/>
      <c r="AZ15" s="5" t="n"/>
      <c r="BA15" s="5" t="n"/>
      <c r="BB15" s="5" t="n"/>
      <c r="BC15" s="5" t="n"/>
      <c r="BD15" s="5" t="n"/>
      <c r="BE15" s="5" t="n"/>
    </row>
    <row r="16">
      <c r="A16" s="5" t="inlineStr">
        <is>
          <t>cost_direct</t>
        </is>
      </c>
      <c r="B16" s="5">
        <f>_zk8d4f*_zt11ik</f>
        <v/>
      </c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  <c r="AC16" s="5" t="n"/>
      <c r="AD16" s="5" t="n"/>
      <c r="AE16" s="5" t="n"/>
      <c r="AF16" s="5" t="n"/>
      <c r="AG16" s="5" t="n"/>
      <c r="AH16" s="5" t="n"/>
      <c r="AI16" s="5" t="n"/>
      <c r="AJ16" s="5" t="n"/>
      <c r="AK16" s="5" t="n"/>
      <c r="AL16" s="5" t="n"/>
      <c r="AM16" s="5" t="n"/>
      <c r="AN16" s="5" t="n"/>
      <c r="AO16" s="5" t="n"/>
      <c r="AP16" s="5" t="n"/>
      <c r="AQ16" s="5" t="n"/>
      <c r="AR16" s="5" t="n"/>
      <c r="AS16" s="5" t="n"/>
      <c r="AT16" s="5" t="n"/>
      <c r="AU16" s="5" t="n"/>
      <c r="AV16" s="5" t="n"/>
      <c r="AW16" s="5" t="n"/>
      <c r="AX16" s="5" t="n"/>
      <c r="AY16" s="5" t="n"/>
      <c r="AZ16" s="5" t="n"/>
      <c r="BA16" s="5" t="n"/>
      <c r="BB16" s="5" t="n"/>
      <c r="BC16" s="5" t="n"/>
      <c r="BD16" s="5" t="n"/>
      <c r="BE16" s="5" t="n"/>
    </row>
    <row r="17">
      <c r="A17" s="5" t="inlineStr">
        <is>
          <t>cost_downstream</t>
        </is>
      </c>
      <c r="B17" s="5">
        <f>_zhw65s*_zsbxps</f>
        <v/>
      </c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  <c r="AC17" s="5" t="n"/>
      <c r="AD17" s="5" t="n"/>
      <c r="AE17" s="5" t="n"/>
      <c r="AF17" s="5" t="n"/>
      <c r="AG17" s="5" t="n"/>
      <c r="AH17" s="5" t="n"/>
      <c r="AI17" s="5" t="n"/>
      <c r="AJ17" s="5" t="n"/>
      <c r="AK17" s="5" t="n"/>
      <c r="AL17" s="5" t="n"/>
      <c r="AM17" s="5" t="n"/>
      <c r="AN17" s="5" t="n"/>
      <c r="AO17" s="5" t="n"/>
      <c r="AP17" s="5" t="n"/>
      <c r="AQ17" s="5" t="n"/>
      <c r="AR17" s="5" t="n"/>
      <c r="AS17" s="5" t="n"/>
      <c r="AT17" s="5" t="n"/>
      <c r="AU17" s="5" t="n"/>
      <c r="AV17" s="5" t="n"/>
      <c r="AW17" s="5" t="n"/>
      <c r="AX17" s="5" t="n"/>
      <c r="AY17" s="5" t="n"/>
      <c r="AZ17" s="5" t="n"/>
      <c r="BA17" s="5" t="n"/>
      <c r="BB17" s="5" t="n"/>
      <c r="BC17" s="5" t="n"/>
      <c r="BD17" s="5" t="n"/>
      <c r="BE17" s="5" t="n"/>
    </row>
    <row r="18">
      <c r="A18" s="5" t="inlineStr">
        <is>
          <t>user_total</t>
        </is>
      </c>
      <c r="B18" s="5">
        <f>_zqhyli+_za7fy7+_z928ab+_zqnyts+_ze6p1m+_zpzqxb</f>
        <v/>
      </c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5" t="n"/>
      <c r="AH18" s="5" t="n"/>
      <c r="AI18" s="5" t="n"/>
      <c r="AJ18" s="5" t="n"/>
      <c r="AK18" s="5" t="n"/>
      <c r="AL18" s="5" t="n"/>
      <c r="AM18" s="5" t="n"/>
      <c r="AN18" s="5" t="n"/>
      <c r="AO18" s="5" t="n"/>
      <c r="AP18" s="5" t="n"/>
      <c r="AQ18" s="5" t="n"/>
      <c r="AR18" s="5" t="n"/>
      <c r="AS18" s="5" t="n"/>
      <c r="AT18" s="5" t="n"/>
      <c r="AU18" s="5" t="n"/>
      <c r="AV18" s="5" t="n"/>
      <c r="AW18" s="5" t="n"/>
      <c r="AX18" s="5" t="n"/>
      <c r="AY18" s="5" t="n"/>
      <c r="AZ18" s="5" t="n"/>
      <c r="BA18" s="5" t="n"/>
      <c r="BB18" s="5" t="n"/>
      <c r="BC18" s="5" t="n"/>
      <c r="BD18" s="5" t="n"/>
      <c r="BE18" s="5" t="n"/>
    </row>
    <row r="19">
      <c r="A19" s="5" t="inlineStr">
        <is>
          <t>user_avg_price</t>
        </is>
      </c>
      <c r="B19" s="5">
        <f>IF(_zftf5w&gt;0,_zvy62p/_zftf5w,0)</f>
        <v/>
      </c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  <c r="AC19" s="5" t="n"/>
      <c r="AD19" s="5" t="n"/>
      <c r="AE19" s="5" t="n"/>
      <c r="AF19" s="5" t="n"/>
      <c r="AG19" s="5" t="n"/>
      <c r="AH19" s="5" t="n"/>
      <c r="AI19" s="5" t="n"/>
      <c r="AJ19" s="5" t="n"/>
      <c r="AK19" s="5" t="n"/>
      <c r="AL19" s="5" t="n"/>
      <c r="AM19" s="5" t="n"/>
      <c r="AN19" s="5" t="n"/>
      <c r="AO19" s="5" t="n"/>
      <c r="AP19" s="5" t="n"/>
      <c r="AQ19" s="5" t="n"/>
      <c r="AR19" s="5" t="n"/>
      <c r="AS19" s="5" t="n"/>
      <c r="AT19" s="5" t="n"/>
      <c r="AU19" s="5" t="n"/>
      <c r="AV19" s="5" t="n"/>
      <c r="AW19" s="5" t="n"/>
      <c r="AX19" s="5" t="n"/>
      <c r="AY19" s="5" t="n"/>
      <c r="AZ19" s="5" t="n"/>
      <c r="BA19" s="5" t="n"/>
      <c r="BB19" s="5" t="n"/>
      <c r="BC19" s="5" t="n"/>
      <c r="BD19" s="5" t="n"/>
      <c r="BE19" s="5" t="n"/>
    </row>
    <row r="20">
      <c r="A20" s="5" t="inlineStr">
        <is>
          <t>baseline</t>
        </is>
      </c>
      <c r="B20" s="5">
        <f>_zf2rqb*_zftf5w</f>
        <v/>
      </c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  <c r="AC20" s="5" t="n"/>
      <c r="AD20" s="5" t="n"/>
      <c r="AE20" s="5" t="n"/>
      <c r="AF20" s="5" t="n"/>
      <c r="AG20" s="5" t="n"/>
      <c r="AH20" s="5" t="n"/>
      <c r="AI20" s="5" t="n"/>
      <c r="AJ20" s="5" t="n"/>
      <c r="AK20" s="5" t="n"/>
      <c r="AL20" s="5" t="n"/>
      <c r="AM20" s="5" t="n"/>
      <c r="AN20" s="5" t="n"/>
      <c r="AO20" s="5" t="n"/>
      <c r="AP20" s="5" t="n"/>
      <c r="AQ20" s="5" t="n"/>
      <c r="AR20" s="5" t="n"/>
      <c r="AS20" s="5" t="n"/>
      <c r="AT20" s="5" t="n"/>
      <c r="AU20" s="5" t="n"/>
      <c r="AV20" s="5" t="n"/>
      <c r="AW20" s="5" t="n"/>
      <c r="AX20" s="5" t="n"/>
      <c r="AY20" s="5" t="n"/>
      <c r="AZ20" s="5" t="n"/>
      <c r="BA20" s="5" t="n"/>
      <c r="BB20" s="5" t="n"/>
      <c r="BC20" s="5" t="n"/>
      <c r="BD20" s="5" t="n"/>
      <c r="BE20" s="5" t="n"/>
    </row>
    <row r="21">
      <c r="A21" s="5" t="inlineStr">
        <is>
          <t>saving</t>
        </is>
      </c>
      <c r="B21" s="5">
        <f>_zfzfsr-_zvy62p</f>
        <v/>
      </c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  <c r="AA21" s="5" t="n"/>
      <c r="AB21" s="5" t="n"/>
      <c r="AC21" s="5" t="n"/>
      <c r="AD21" s="5" t="n"/>
      <c r="AE21" s="5" t="n"/>
      <c r="AF21" s="5" t="n"/>
      <c r="AG21" s="5" t="n"/>
      <c r="AH21" s="5" t="n"/>
      <c r="AI21" s="5" t="n"/>
      <c r="AJ21" s="5" t="n"/>
      <c r="AK21" s="5" t="n"/>
      <c r="AL21" s="5" t="n"/>
      <c r="AM21" s="5" t="n"/>
      <c r="AN21" s="5" t="n"/>
      <c r="AO21" s="5" t="n"/>
      <c r="AP21" s="5" t="n"/>
      <c r="AQ21" s="5" t="n"/>
      <c r="AR21" s="5" t="n"/>
      <c r="AS21" s="5" t="n"/>
      <c r="AT21" s="5" t="n"/>
      <c r="AU21" s="5" t="n"/>
      <c r="AV21" s="5" t="n"/>
      <c r="AW21" s="5" t="n"/>
      <c r="AX21" s="5" t="n"/>
      <c r="AY21" s="5" t="n"/>
      <c r="AZ21" s="5" t="n"/>
      <c r="BA21" s="5" t="n"/>
      <c r="BB21" s="5" t="n"/>
      <c r="BC21" s="5" t="n"/>
      <c r="BD21" s="5" t="n"/>
      <c r="BE21" s="5" t="n"/>
    </row>
    <row r="22">
      <c r="A22" s="5" t="inlineStr">
        <is>
          <t>saving_rate</t>
        </is>
      </c>
      <c r="B22" s="5">
        <f>IF(_zfzfsr&gt;0,_zmorcm/_zfzfsr,0)</f>
        <v/>
      </c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  <c r="AC22" s="5" t="n"/>
      <c r="AD22" s="5" t="n"/>
      <c r="AE22" s="5" t="n"/>
      <c r="AF22" s="5" t="n"/>
      <c r="AG22" s="5" t="n"/>
      <c r="AH22" s="5" t="n"/>
      <c r="AI22" s="5" t="n"/>
      <c r="AJ22" s="5" t="n"/>
      <c r="AK22" s="5" t="n"/>
      <c r="AL22" s="5" t="n"/>
      <c r="AM22" s="5" t="n"/>
      <c r="AN22" s="5" t="n"/>
      <c r="AO22" s="5" t="n"/>
      <c r="AP22" s="5" t="n"/>
      <c r="AQ22" s="5" t="n"/>
      <c r="AR22" s="5" t="n"/>
      <c r="AS22" s="5" t="n"/>
      <c r="AT22" s="5" t="n"/>
      <c r="AU22" s="5" t="n"/>
      <c r="AV22" s="5" t="n"/>
      <c r="AW22" s="5" t="n"/>
      <c r="AX22" s="5" t="n"/>
      <c r="AY22" s="5" t="n"/>
      <c r="AZ22" s="5" t="n"/>
      <c r="BA22" s="5" t="n"/>
      <c r="BB22" s="5" t="n"/>
      <c r="BC22" s="5" t="n"/>
      <c r="BD22" s="5" t="n"/>
      <c r="BE22" s="5" t="n"/>
    </row>
    <row r="23">
      <c r="A23" s="5" t="inlineStr">
        <is>
          <t>green_avoid</t>
        </is>
      </c>
      <c r="B23" s="5">
        <f>_z8d2zq*_zt11ik</f>
        <v/>
      </c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  <c r="AC23" s="5" t="n"/>
      <c r="AD23" s="5" t="n"/>
      <c r="AE23" s="5" t="n"/>
      <c r="AF23" s="5" t="n"/>
      <c r="AG23" s="5" t="n"/>
      <c r="AH23" s="5" t="n"/>
      <c r="AI23" s="5" t="n"/>
      <c r="AJ23" s="5" t="n"/>
      <c r="AK23" s="5" t="n"/>
      <c r="AL23" s="5" t="n"/>
      <c r="AM23" s="5" t="n"/>
      <c r="AN23" s="5" t="n"/>
      <c r="AO23" s="5" t="n"/>
      <c r="AP23" s="5" t="n"/>
      <c r="AQ23" s="5" t="n"/>
      <c r="AR23" s="5" t="n"/>
      <c r="AS23" s="5" t="n"/>
      <c r="AT23" s="5" t="n"/>
      <c r="AU23" s="5" t="n"/>
      <c r="AV23" s="5" t="n"/>
      <c r="AW23" s="5" t="n"/>
      <c r="AX23" s="5" t="n"/>
      <c r="AY23" s="5" t="n"/>
      <c r="AZ23" s="5" t="n"/>
      <c r="BA23" s="5" t="n"/>
      <c r="BB23" s="5" t="n"/>
      <c r="BC23" s="5" t="n"/>
      <c r="BD23" s="5" t="n"/>
      <c r="BE23" s="5" t="n"/>
    </row>
    <row r="24">
      <c r="A24" s="5" t="inlineStr">
        <is>
          <t>capex_pv</t>
        </is>
      </c>
      <c r="B24" s="5">
        <f>_z35wsg*_zzvbgr*100</f>
        <v/>
      </c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  <c r="AC24" s="5" t="n"/>
      <c r="AD24" s="5" t="n"/>
      <c r="AE24" s="5" t="n"/>
      <c r="AF24" s="5" t="n"/>
      <c r="AG24" s="5" t="n"/>
      <c r="AH24" s="5" t="n"/>
      <c r="AI24" s="5" t="n"/>
      <c r="AJ24" s="5" t="n"/>
      <c r="AK24" s="5" t="n"/>
      <c r="AL24" s="5" t="n"/>
      <c r="AM24" s="5" t="n"/>
      <c r="AN24" s="5" t="n"/>
      <c r="AO24" s="5" t="n"/>
      <c r="AP24" s="5" t="n"/>
      <c r="AQ24" s="5" t="n"/>
      <c r="AR24" s="5" t="n"/>
      <c r="AS24" s="5" t="n"/>
      <c r="AT24" s="5" t="n"/>
      <c r="AU24" s="5" t="n"/>
      <c r="AV24" s="5" t="n"/>
      <c r="AW24" s="5" t="n"/>
      <c r="AX24" s="5" t="n"/>
      <c r="AY24" s="5" t="n"/>
      <c r="AZ24" s="5" t="n"/>
      <c r="BA24" s="5" t="n"/>
      <c r="BB24" s="5" t="n"/>
      <c r="BC24" s="5" t="n"/>
      <c r="BD24" s="5" t="n"/>
      <c r="BE24" s="5" t="n"/>
    </row>
    <row r="25">
      <c r="A25" s="5" t="inlineStr">
        <is>
          <t>capex_wind</t>
        </is>
      </c>
      <c r="B25" s="5">
        <f>_z4kl0k*_zzl39o*100</f>
        <v/>
      </c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  <c r="AC25" s="5" t="n"/>
      <c r="AD25" s="5" t="n"/>
      <c r="AE25" s="5" t="n"/>
      <c r="AF25" s="5" t="n"/>
      <c r="AG25" s="5" t="n"/>
      <c r="AH25" s="5" t="n"/>
      <c r="AI25" s="5" t="n"/>
      <c r="AJ25" s="5" t="n"/>
      <c r="AK25" s="5" t="n"/>
      <c r="AL25" s="5" t="n"/>
      <c r="AM25" s="5" t="n"/>
      <c r="AN25" s="5" t="n"/>
      <c r="AO25" s="5" t="n"/>
      <c r="AP25" s="5" t="n"/>
      <c r="AQ25" s="5" t="n"/>
      <c r="AR25" s="5" t="n"/>
      <c r="AS25" s="5" t="n"/>
      <c r="AT25" s="5" t="n"/>
      <c r="AU25" s="5" t="n"/>
      <c r="AV25" s="5" t="n"/>
      <c r="AW25" s="5" t="n"/>
      <c r="AX25" s="5" t="n"/>
      <c r="AY25" s="5" t="n"/>
      <c r="AZ25" s="5" t="n"/>
      <c r="BA25" s="5" t="n"/>
      <c r="BB25" s="5" t="n"/>
      <c r="BC25" s="5" t="n"/>
      <c r="BD25" s="5" t="n"/>
      <c r="BE25" s="5" t="n"/>
    </row>
    <row r="26">
      <c r="A26" s="5" t="inlineStr">
        <is>
          <t>capex_storage</t>
        </is>
      </c>
      <c r="B26" s="5">
        <f>_zjttpb*_zm9z4k*100</f>
        <v/>
      </c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  <c r="AA26" s="5" t="n"/>
      <c r="AB26" s="5" t="n"/>
      <c r="AC26" s="5" t="n"/>
      <c r="AD26" s="5" t="n"/>
      <c r="AE26" s="5" t="n"/>
      <c r="AF26" s="5" t="n"/>
      <c r="AG26" s="5" t="n"/>
      <c r="AH26" s="5" t="n"/>
      <c r="AI26" s="5" t="n"/>
      <c r="AJ26" s="5" t="n"/>
      <c r="AK26" s="5" t="n"/>
      <c r="AL26" s="5" t="n"/>
      <c r="AM26" s="5" t="n"/>
      <c r="AN26" s="5" t="n"/>
      <c r="AO26" s="5" t="n"/>
      <c r="AP26" s="5" t="n"/>
      <c r="AQ26" s="5" t="n"/>
      <c r="AR26" s="5" t="n"/>
      <c r="AS26" s="5" t="n"/>
      <c r="AT26" s="5" t="n"/>
      <c r="AU26" s="5" t="n"/>
      <c r="AV26" s="5" t="n"/>
      <c r="AW26" s="5" t="n"/>
      <c r="AX26" s="5" t="n"/>
      <c r="AY26" s="5" t="n"/>
      <c r="AZ26" s="5" t="n"/>
      <c r="BA26" s="5" t="n"/>
      <c r="BB26" s="5" t="n"/>
      <c r="BC26" s="5" t="n"/>
      <c r="BD26" s="5" t="n"/>
      <c r="BE26" s="5" t="n"/>
    </row>
    <row r="27">
      <c r="A27" s="5" t="inlineStr">
        <is>
          <t>capex_total</t>
        </is>
      </c>
      <c r="B27" s="5">
        <f>_zkh06o+_z517d3+_z67r2o+_zbf04s</f>
        <v/>
      </c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  <c r="AA27" s="5" t="n"/>
      <c r="AB27" s="5" t="n"/>
      <c r="AC27" s="5" t="n"/>
      <c r="AD27" s="5" t="n"/>
      <c r="AE27" s="5" t="n"/>
      <c r="AF27" s="5" t="n"/>
      <c r="AG27" s="5" t="n"/>
      <c r="AH27" s="5" t="n"/>
      <c r="AI27" s="5" t="n"/>
      <c r="AJ27" s="5" t="n"/>
      <c r="AK27" s="5" t="n"/>
      <c r="AL27" s="5" t="n"/>
      <c r="AM27" s="5" t="n"/>
      <c r="AN27" s="5" t="n"/>
      <c r="AO27" s="5" t="n"/>
      <c r="AP27" s="5" t="n"/>
      <c r="AQ27" s="5" t="n"/>
      <c r="AR27" s="5" t="n"/>
      <c r="AS27" s="5" t="n"/>
      <c r="AT27" s="5" t="n"/>
      <c r="AU27" s="5" t="n"/>
      <c r="AV27" s="5" t="n"/>
      <c r="AW27" s="5" t="n"/>
      <c r="AX27" s="5" t="n"/>
      <c r="AY27" s="5" t="n"/>
      <c r="AZ27" s="5" t="n"/>
      <c r="BA27" s="5" t="n"/>
      <c r="BB27" s="5" t="n"/>
      <c r="BC27" s="5" t="n"/>
      <c r="BD27" s="5" t="n"/>
      <c r="BE27" s="5" t="n"/>
    </row>
    <row r="28">
      <c r="A28" s="5" t="inlineStr">
        <is>
          <t>holiday_share</t>
        </is>
      </c>
      <c r="B28" s="5">
        <f>IF(_z1tt59&gt;0,(_zkh06o+_z517d3)/_z1tt59,0)</f>
        <v/>
      </c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  <c r="AC28" s="5" t="n"/>
      <c r="AD28" s="5" t="n"/>
      <c r="AE28" s="5" t="n"/>
      <c r="AF28" s="5" t="n"/>
      <c r="AG28" s="5" t="n"/>
      <c r="AH28" s="5" t="n"/>
      <c r="AI28" s="5" t="n"/>
      <c r="AJ28" s="5" t="n"/>
      <c r="AK28" s="5" t="n"/>
      <c r="AL28" s="5" t="n"/>
      <c r="AM28" s="5" t="n"/>
      <c r="AN28" s="5" t="n"/>
      <c r="AO28" s="5" t="n"/>
      <c r="AP28" s="5" t="n"/>
      <c r="AQ28" s="5" t="n"/>
      <c r="AR28" s="5" t="n"/>
      <c r="AS28" s="5" t="n"/>
      <c r="AT28" s="5" t="n"/>
      <c r="AU28" s="5" t="n"/>
      <c r="AV28" s="5" t="n"/>
      <c r="AW28" s="5" t="n"/>
      <c r="AX28" s="5" t="n"/>
      <c r="AY28" s="5" t="n"/>
      <c r="AZ28" s="5" t="n"/>
      <c r="BA28" s="5" t="n"/>
      <c r="BB28" s="5" t="n"/>
      <c r="BC28" s="5" t="n"/>
      <c r="BD28" s="5" t="n"/>
      <c r="BE28" s="5" t="n"/>
    </row>
    <row r="29">
      <c r="A29" s="5" t="inlineStr">
        <is>
          <t>n_years</t>
        </is>
      </c>
      <c r="B29" s="5">
        <f>ROUND(_z7fj0w,0)</f>
        <v/>
      </c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  <c r="AC29" s="5" t="n"/>
      <c r="AD29" s="5" t="n"/>
      <c r="AE29" s="5" t="n"/>
      <c r="AF29" s="5" t="n"/>
      <c r="AG29" s="5" t="n"/>
      <c r="AH29" s="5" t="n"/>
      <c r="AI29" s="5" t="n"/>
      <c r="AJ29" s="5" t="n"/>
      <c r="AK29" s="5" t="n"/>
      <c r="AL29" s="5" t="n"/>
      <c r="AM29" s="5" t="n"/>
      <c r="AN29" s="5" t="n"/>
      <c r="AO29" s="5" t="n"/>
      <c r="AP29" s="5" t="n"/>
      <c r="AQ29" s="5" t="n"/>
      <c r="AR29" s="5" t="n"/>
      <c r="AS29" s="5" t="n"/>
      <c r="AT29" s="5" t="n"/>
      <c r="AU29" s="5" t="n"/>
      <c r="AV29" s="5" t="n"/>
      <c r="AW29" s="5" t="n"/>
      <c r="AX29" s="5" t="n"/>
      <c r="AY29" s="5" t="n"/>
      <c r="AZ29" s="5" t="n"/>
      <c r="BA29" s="5" t="n"/>
      <c r="BB29" s="5" t="n"/>
      <c r="BC29" s="5" t="n"/>
      <c r="BD29" s="5" t="n"/>
      <c r="BE29" s="5" t="n"/>
    </row>
    <row r="30">
      <c r="A30" s="5" t="inlineStr">
        <is>
          <t>equity</t>
        </is>
      </c>
      <c r="B30" s="5">
        <f>_z1tt59*_z1v75m</f>
        <v/>
      </c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  <c r="AA30" s="5" t="n"/>
      <c r="AB30" s="5" t="n"/>
      <c r="AC30" s="5" t="n"/>
      <c r="AD30" s="5" t="n"/>
      <c r="AE30" s="5" t="n"/>
      <c r="AF30" s="5" t="n"/>
      <c r="AG30" s="5" t="n"/>
      <c r="AH30" s="5" t="n"/>
      <c r="AI30" s="5" t="n"/>
      <c r="AJ30" s="5" t="n"/>
      <c r="AK30" s="5" t="n"/>
      <c r="AL30" s="5" t="n"/>
      <c r="AM30" s="5" t="n"/>
      <c r="AN30" s="5" t="n"/>
      <c r="AO30" s="5" t="n"/>
      <c r="AP30" s="5" t="n"/>
      <c r="AQ30" s="5" t="n"/>
      <c r="AR30" s="5" t="n"/>
      <c r="AS30" s="5" t="n"/>
      <c r="AT30" s="5" t="n"/>
      <c r="AU30" s="5" t="n"/>
      <c r="AV30" s="5" t="n"/>
      <c r="AW30" s="5" t="n"/>
      <c r="AX30" s="5" t="n"/>
      <c r="AY30" s="5" t="n"/>
      <c r="AZ30" s="5" t="n"/>
      <c r="BA30" s="5" t="n"/>
      <c r="BB30" s="5" t="n"/>
      <c r="BC30" s="5" t="n"/>
      <c r="BD30" s="5" t="n"/>
      <c r="BE30" s="5" t="n"/>
    </row>
    <row r="31">
      <c r="A31" s="5" t="inlineStr">
        <is>
          <t>loan</t>
        </is>
      </c>
      <c r="B31" s="5">
        <f>_z1tt59-_zn0hoh</f>
        <v/>
      </c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  <c r="AC31" s="5" t="n"/>
      <c r="AD31" s="5" t="n"/>
      <c r="AE31" s="5" t="n"/>
      <c r="AF31" s="5" t="n"/>
      <c r="AG31" s="5" t="n"/>
      <c r="AH31" s="5" t="n"/>
      <c r="AI31" s="5" t="n"/>
      <c r="AJ31" s="5" t="n"/>
      <c r="AK31" s="5" t="n"/>
      <c r="AL31" s="5" t="n"/>
      <c r="AM31" s="5" t="n"/>
      <c r="AN31" s="5" t="n"/>
      <c r="AO31" s="5" t="n"/>
      <c r="AP31" s="5" t="n"/>
      <c r="AQ31" s="5" t="n"/>
      <c r="AR31" s="5" t="n"/>
      <c r="AS31" s="5" t="n"/>
      <c r="AT31" s="5" t="n"/>
      <c r="AU31" s="5" t="n"/>
      <c r="AV31" s="5" t="n"/>
      <c r="AW31" s="5" t="n"/>
      <c r="AX31" s="5" t="n"/>
      <c r="AY31" s="5" t="n"/>
      <c r="AZ31" s="5" t="n"/>
      <c r="BA31" s="5" t="n"/>
      <c r="BB31" s="5" t="n"/>
      <c r="BC31" s="5" t="n"/>
      <c r="BD31" s="5" t="n"/>
      <c r="BE31" s="5" t="n"/>
    </row>
    <row r="32">
      <c r="A32" s="5" t="inlineStr">
        <is>
          <t>loan_years_r</t>
        </is>
      </c>
      <c r="B32" s="5">
        <f>ROUND(_z0ek84,0)</f>
        <v/>
      </c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  <c r="AA32" s="5" t="n"/>
      <c r="AB32" s="5" t="n"/>
      <c r="AC32" s="5" t="n"/>
      <c r="AD32" s="5" t="n"/>
      <c r="AE32" s="5" t="n"/>
      <c r="AF32" s="5" t="n"/>
      <c r="AG32" s="5" t="n"/>
      <c r="AH32" s="5" t="n"/>
      <c r="AI32" s="5" t="n"/>
      <c r="AJ32" s="5" t="n"/>
      <c r="AK32" s="5" t="n"/>
      <c r="AL32" s="5" t="n"/>
      <c r="AM32" s="5" t="n"/>
      <c r="AN32" s="5" t="n"/>
      <c r="AO32" s="5" t="n"/>
      <c r="AP32" s="5" t="n"/>
      <c r="AQ32" s="5" t="n"/>
      <c r="AR32" s="5" t="n"/>
      <c r="AS32" s="5" t="n"/>
      <c r="AT32" s="5" t="n"/>
      <c r="AU32" s="5" t="n"/>
      <c r="AV32" s="5" t="n"/>
      <c r="AW32" s="5" t="n"/>
      <c r="AX32" s="5" t="n"/>
      <c r="AY32" s="5" t="n"/>
      <c r="AZ32" s="5" t="n"/>
      <c r="BA32" s="5" t="n"/>
      <c r="BB32" s="5" t="n"/>
      <c r="BC32" s="5" t="n"/>
      <c r="BD32" s="5" t="n"/>
      <c r="BE32" s="5" t="n"/>
    </row>
    <row r="33">
      <c r="A33" s="5" t="inlineStr">
        <is>
          <t>pay</t>
        </is>
      </c>
      <c r="B33" s="5">
        <f>IF(_zyywx7=0,_zmqr32/_z2al7i,_zmqr32*_zyywx7/(1-(1+_zyywx7)^-_z2al7i))</f>
        <v/>
      </c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  <c r="AC33" s="5" t="n"/>
      <c r="AD33" s="5" t="n"/>
      <c r="AE33" s="5" t="n"/>
      <c r="AF33" s="5" t="n"/>
      <c r="AG33" s="5" t="n"/>
      <c r="AH33" s="5" t="n"/>
      <c r="AI33" s="5" t="n"/>
      <c r="AJ33" s="5" t="n"/>
      <c r="AK33" s="5" t="n"/>
      <c r="AL33" s="5" t="n"/>
      <c r="AM33" s="5" t="n"/>
      <c r="AN33" s="5" t="n"/>
      <c r="AO33" s="5" t="n"/>
      <c r="AP33" s="5" t="n"/>
      <c r="AQ33" s="5" t="n"/>
      <c r="AR33" s="5" t="n"/>
      <c r="AS33" s="5" t="n"/>
      <c r="AT33" s="5" t="n"/>
      <c r="AU33" s="5" t="n"/>
      <c r="AV33" s="5" t="n"/>
      <c r="AW33" s="5" t="n"/>
      <c r="AX33" s="5" t="n"/>
      <c r="AY33" s="5" t="n"/>
      <c r="AZ33" s="5" t="n"/>
      <c r="BA33" s="5" t="n"/>
      <c r="BB33" s="5" t="n"/>
      <c r="BC33" s="5" t="n"/>
      <c r="BD33" s="5" t="n"/>
      <c r="BE33" s="5" t="n"/>
    </row>
    <row r="34">
      <c r="A34" s="5" t="inlineStr">
        <is>
          <t>capex_net</t>
        </is>
      </c>
      <c r="B34" s="5">
        <f>_z1tt59*(1-_zpnfsf)</f>
        <v/>
      </c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  <c r="AC34" s="5" t="n"/>
      <c r="AD34" s="5" t="n"/>
      <c r="AE34" s="5" t="n"/>
      <c r="AF34" s="5" t="n"/>
      <c r="AG34" s="5" t="n"/>
      <c r="AH34" s="5" t="n"/>
      <c r="AI34" s="5" t="n"/>
      <c r="AJ34" s="5" t="n"/>
      <c r="AK34" s="5" t="n"/>
      <c r="AL34" s="5" t="n"/>
      <c r="AM34" s="5" t="n"/>
      <c r="AN34" s="5" t="n"/>
      <c r="AO34" s="5" t="n"/>
      <c r="AP34" s="5" t="n"/>
      <c r="AQ34" s="5" t="n"/>
      <c r="AR34" s="5" t="n"/>
      <c r="AS34" s="5" t="n"/>
      <c r="AT34" s="5" t="n"/>
      <c r="AU34" s="5" t="n"/>
      <c r="AV34" s="5" t="n"/>
      <c r="AW34" s="5" t="n"/>
      <c r="AX34" s="5" t="n"/>
      <c r="AY34" s="5" t="n"/>
      <c r="AZ34" s="5" t="n"/>
      <c r="BA34" s="5" t="n"/>
      <c r="BB34" s="5" t="n"/>
      <c r="BC34" s="5" t="n"/>
      <c r="BD34" s="5" t="n"/>
      <c r="BE34" s="5" t="n"/>
    </row>
    <row r="35">
      <c r="A35" s="5" t="inlineStr">
        <is>
          <t>vat_pool0</t>
        </is>
      </c>
      <c r="B35" s="5">
        <f>_z1tt59*_zpnfsf</f>
        <v/>
      </c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  <c r="AC35" s="5" t="n"/>
      <c r="AD35" s="5" t="n"/>
      <c r="AE35" s="5" t="n"/>
      <c r="AF35" s="5" t="n"/>
      <c r="AG35" s="5" t="n"/>
      <c r="AH35" s="5" t="n"/>
      <c r="AI35" s="5" t="n"/>
      <c r="AJ35" s="5" t="n"/>
      <c r="AK35" s="5" t="n"/>
      <c r="AL35" s="5" t="n"/>
      <c r="AM35" s="5" t="n"/>
      <c r="AN35" s="5" t="n"/>
      <c r="AO35" s="5" t="n"/>
      <c r="AP35" s="5" t="n"/>
      <c r="AQ35" s="5" t="n"/>
      <c r="AR35" s="5" t="n"/>
      <c r="AS35" s="5" t="n"/>
      <c r="AT35" s="5" t="n"/>
      <c r="AU35" s="5" t="n"/>
      <c r="AV35" s="5" t="n"/>
      <c r="AW35" s="5" t="n"/>
      <c r="AX35" s="5" t="n"/>
      <c r="AY35" s="5" t="n"/>
      <c r="AZ35" s="5" t="n"/>
      <c r="BA35" s="5" t="n"/>
      <c r="BB35" s="5" t="n"/>
      <c r="BC35" s="5" t="n"/>
      <c r="BD35" s="5" t="n"/>
      <c r="BE35" s="5" t="n"/>
    </row>
    <row r="36">
      <c r="A36" s="5" t="inlineStr">
        <is>
          <t>dep_base</t>
        </is>
      </c>
      <c r="B36" s="5">
        <f>_zbb0h1*(1-_z52v2x)</f>
        <v/>
      </c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  <c r="AC36" s="5" t="n"/>
      <c r="AD36" s="5" t="n"/>
      <c r="AE36" s="5" t="n"/>
      <c r="AF36" s="5" t="n"/>
      <c r="AG36" s="5" t="n"/>
      <c r="AH36" s="5" t="n"/>
      <c r="AI36" s="5" t="n"/>
      <c r="AJ36" s="5" t="n"/>
      <c r="AK36" s="5" t="n"/>
      <c r="AL36" s="5" t="n"/>
      <c r="AM36" s="5" t="n"/>
      <c r="AN36" s="5" t="n"/>
      <c r="AO36" s="5" t="n"/>
      <c r="AP36" s="5" t="n"/>
      <c r="AQ36" s="5" t="n"/>
      <c r="AR36" s="5" t="n"/>
      <c r="AS36" s="5" t="n"/>
      <c r="AT36" s="5" t="n"/>
      <c r="AU36" s="5" t="n"/>
      <c r="AV36" s="5" t="n"/>
      <c r="AW36" s="5" t="n"/>
      <c r="AX36" s="5" t="n"/>
      <c r="AY36" s="5" t="n"/>
      <c r="AZ36" s="5" t="n"/>
      <c r="BA36" s="5" t="n"/>
      <c r="BB36" s="5" t="n"/>
      <c r="BC36" s="5" t="n"/>
      <c r="BD36" s="5" t="n"/>
      <c r="BE36" s="5" t="n"/>
    </row>
    <row r="37">
      <c r="A37" s="5" t="inlineStr">
        <is>
          <t>dep_years_tax</t>
        </is>
      </c>
      <c r="B37" s="5">
        <f>ROUND(_zqudm6,0)</f>
        <v/>
      </c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  <c r="AC37" s="5" t="n"/>
      <c r="AD37" s="5" t="n"/>
      <c r="AE37" s="5" t="n"/>
      <c r="AF37" s="5" t="n"/>
      <c r="AG37" s="5" t="n"/>
      <c r="AH37" s="5" t="n"/>
      <c r="AI37" s="5" t="n"/>
      <c r="AJ37" s="5" t="n"/>
      <c r="AK37" s="5" t="n"/>
      <c r="AL37" s="5" t="n"/>
      <c r="AM37" s="5" t="n"/>
      <c r="AN37" s="5" t="n"/>
      <c r="AO37" s="5" t="n"/>
      <c r="AP37" s="5" t="n"/>
      <c r="AQ37" s="5" t="n"/>
      <c r="AR37" s="5" t="n"/>
      <c r="AS37" s="5" t="n"/>
      <c r="AT37" s="5" t="n"/>
      <c r="AU37" s="5" t="n"/>
      <c r="AV37" s="5" t="n"/>
      <c r="AW37" s="5" t="n"/>
      <c r="AX37" s="5" t="n"/>
      <c r="AY37" s="5" t="n"/>
      <c r="AZ37" s="5" t="n"/>
      <c r="BA37" s="5" t="n"/>
      <c r="BB37" s="5" t="n"/>
      <c r="BC37" s="5" t="n"/>
      <c r="BD37" s="5" t="n"/>
      <c r="BE37" s="5" t="n"/>
    </row>
    <row r="38">
      <c r="A38" s="5" t="inlineStr">
        <is>
          <t>dep_years_eff</t>
        </is>
      </c>
      <c r="B38" s="5">
        <f>MIN(_zk7d33,_zx5hja)</f>
        <v/>
      </c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  <c r="AC38" s="5" t="n"/>
      <c r="AD38" s="5" t="n"/>
      <c r="AE38" s="5" t="n"/>
      <c r="AF38" s="5" t="n"/>
      <c r="AG38" s="5" t="n"/>
      <c r="AH38" s="5" t="n"/>
      <c r="AI38" s="5" t="n"/>
      <c r="AJ38" s="5" t="n"/>
      <c r="AK38" s="5" t="n"/>
      <c r="AL38" s="5" t="n"/>
      <c r="AM38" s="5" t="n"/>
      <c r="AN38" s="5" t="n"/>
      <c r="AO38" s="5" t="n"/>
      <c r="AP38" s="5" t="n"/>
      <c r="AQ38" s="5" t="n"/>
      <c r="AR38" s="5" t="n"/>
      <c r="AS38" s="5" t="n"/>
      <c r="AT38" s="5" t="n"/>
      <c r="AU38" s="5" t="n"/>
      <c r="AV38" s="5" t="n"/>
      <c r="AW38" s="5" t="n"/>
      <c r="AX38" s="5" t="n"/>
      <c r="AY38" s="5" t="n"/>
      <c r="AZ38" s="5" t="n"/>
      <c r="BA38" s="5" t="n"/>
      <c r="BB38" s="5" t="n"/>
      <c r="BC38" s="5" t="n"/>
      <c r="BD38" s="5" t="n"/>
      <c r="BE38" s="5" t="n"/>
    </row>
    <row r="39">
      <c r="A39" s="5" t="inlineStr">
        <is>
          <t>dep_annual</t>
        </is>
      </c>
      <c r="B39" s="5">
        <f>_zxo0o2/_zk7d33</f>
        <v/>
      </c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  <c r="AC39" s="5" t="n"/>
      <c r="AD39" s="5" t="n"/>
      <c r="AE39" s="5" t="n"/>
      <c r="AF39" s="5" t="n"/>
      <c r="AG39" s="5" t="n"/>
      <c r="AH39" s="5" t="n"/>
      <c r="AI39" s="5" t="n"/>
      <c r="AJ39" s="5" t="n"/>
      <c r="AK39" s="5" t="n"/>
      <c r="AL39" s="5" t="n"/>
      <c r="AM39" s="5" t="n"/>
      <c r="AN39" s="5" t="n"/>
      <c r="AO39" s="5" t="n"/>
      <c r="AP39" s="5" t="n"/>
      <c r="AQ39" s="5" t="n"/>
      <c r="AR39" s="5" t="n"/>
      <c r="AS39" s="5" t="n"/>
      <c r="AT39" s="5" t="n"/>
      <c r="AU39" s="5" t="n"/>
      <c r="AV39" s="5" t="n"/>
      <c r="AW39" s="5" t="n"/>
      <c r="AX39" s="5" t="n"/>
      <c r="AY39" s="5" t="n"/>
      <c r="AZ39" s="5" t="n"/>
      <c r="BA39" s="5" t="n"/>
      <c r="BB39" s="5" t="n"/>
      <c r="BC39" s="5" t="n"/>
      <c r="BD39" s="5" t="n"/>
      <c r="BE39" s="5" t="n"/>
    </row>
    <row r="40">
      <c r="A40" s="5" t="inlineStr">
        <is>
          <t>opex</t>
        </is>
      </c>
      <c r="B40" s="5">
        <f>_z1tt59*(_zia8ld+_z5jv12)</f>
        <v/>
      </c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  <c r="AA40" s="5" t="n"/>
      <c r="AB40" s="5" t="n"/>
      <c r="AC40" s="5" t="n"/>
      <c r="AD40" s="5" t="n"/>
      <c r="AE40" s="5" t="n"/>
      <c r="AF40" s="5" t="n"/>
      <c r="AG40" s="5" t="n"/>
      <c r="AH40" s="5" t="n"/>
      <c r="AI40" s="5" t="n"/>
      <c r="AJ40" s="5" t="n"/>
      <c r="AK40" s="5" t="n"/>
      <c r="AL40" s="5" t="n"/>
      <c r="AM40" s="5" t="n"/>
      <c r="AN40" s="5" t="n"/>
      <c r="AO40" s="5" t="n"/>
      <c r="AP40" s="5" t="n"/>
      <c r="AQ40" s="5" t="n"/>
      <c r="AR40" s="5" t="n"/>
      <c r="AS40" s="5" t="n"/>
      <c r="AT40" s="5" t="n"/>
      <c r="AU40" s="5" t="n"/>
      <c r="AV40" s="5" t="n"/>
      <c r="AW40" s="5" t="n"/>
      <c r="AX40" s="5" t="n"/>
      <c r="AY40" s="5" t="n"/>
      <c r="AZ40" s="5" t="n"/>
      <c r="BA40" s="5" t="n"/>
      <c r="BB40" s="5" t="n"/>
      <c r="BC40" s="5" t="n"/>
      <c r="BD40" s="5" t="n"/>
      <c r="BE40" s="5" t="n"/>
    </row>
    <row r="41">
      <c r="A41" s="5" t="inlineStr">
        <is>
          <t>salvage_value</t>
        </is>
      </c>
      <c r="B41" s="5">
        <f>_zbb0h1*_z52v2x</f>
        <v/>
      </c>
      <c r="C41" s="5" t="n"/>
      <c r="D41" s="5" t="n"/>
      <c r="E41" s="5" t="n"/>
      <c r="F41" s="5" t="n"/>
      <c r="G41" s="5" t="n"/>
      <c r="H41" s="5" t="n"/>
      <c r="I41" s="5" t="n"/>
      <c r="J41" s="5" t="n"/>
      <c r="K41" s="5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  <c r="AC41" s="5" t="n"/>
      <c r="AD41" s="5" t="n"/>
      <c r="AE41" s="5" t="n"/>
      <c r="AF41" s="5" t="n"/>
      <c r="AG41" s="5" t="n"/>
      <c r="AH41" s="5" t="n"/>
      <c r="AI41" s="5" t="n"/>
      <c r="AJ41" s="5" t="n"/>
      <c r="AK41" s="5" t="n"/>
      <c r="AL41" s="5" t="n"/>
      <c r="AM41" s="5" t="n"/>
      <c r="AN41" s="5" t="n"/>
      <c r="AO41" s="5" t="n"/>
      <c r="AP41" s="5" t="n"/>
      <c r="AQ41" s="5" t="n"/>
      <c r="AR41" s="5" t="n"/>
      <c r="AS41" s="5" t="n"/>
      <c r="AT41" s="5" t="n"/>
      <c r="AU41" s="5" t="n"/>
      <c r="AV41" s="5" t="n"/>
      <c r="AW41" s="5" t="n"/>
      <c r="AX41" s="5" t="n"/>
      <c r="AY41" s="5" t="n"/>
      <c r="AZ41" s="5" t="n"/>
      <c r="BA41" s="5" t="n"/>
      <c r="BB41" s="5" t="n"/>
      <c r="BC41" s="5" t="n"/>
      <c r="BD41" s="5" t="n"/>
      <c r="BE41" s="5" t="n"/>
    </row>
    <row r="42">
      <c r="A42" s="5" t="inlineStr">
        <is>
          <t>terminal_value</t>
        </is>
      </c>
      <c r="B42" s="5">
        <f>_z4gfqk+_zxo0o2*MAX(0,_zk7d33-_zx5hja)/_zk7d33</f>
        <v/>
      </c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  <c r="AC42" s="5" t="n"/>
      <c r="AD42" s="5" t="n"/>
      <c r="AE42" s="5" t="n"/>
      <c r="AF42" s="5" t="n"/>
      <c r="AG42" s="5" t="n"/>
      <c r="AH42" s="5" t="n"/>
      <c r="AI42" s="5" t="n"/>
      <c r="AJ42" s="5" t="n"/>
      <c r="AK42" s="5" t="n"/>
      <c r="AL42" s="5" t="n"/>
      <c r="AM42" s="5" t="n"/>
      <c r="AN42" s="5" t="n"/>
      <c r="AO42" s="5" t="n"/>
      <c r="AP42" s="5" t="n"/>
      <c r="AQ42" s="5" t="n"/>
      <c r="AR42" s="5" t="n"/>
      <c r="AS42" s="5" t="n"/>
      <c r="AT42" s="5" t="n"/>
      <c r="AU42" s="5" t="n"/>
      <c r="AV42" s="5" t="n"/>
      <c r="AW42" s="5" t="n"/>
      <c r="AX42" s="5" t="n"/>
      <c r="AY42" s="5" t="n"/>
      <c r="AZ42" s="5" t="n"/>
      <c r="BA42" s="5" t="n"/>
      <c r="BB42" s="5" t="n"/>
      <c r="BC42" s="5" t="n"/>
      <c r="BD42" s="5" t="n"/>
      <c r="BE42" s="5" t="n"/>
    </row>
    <row r="43">
      <c r="A43" s="5" t="inlineStr">
        <is>
          <t>replace_year_r</t>
        </is>
      </c>
      <c r="B43" s="5">
        <f>ROUND(_ziqmyk,0)</f>
        <v/>
      </c>
      <c r="C43" s="5" t="n"/>
      <c r="D43" s="5" t="n"/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  <c r="AC43" s="5" t="n"/>
      <c r="AD43" s="5" t="n"/>
      <c r="AE43" s="5" t="n"/>
      <c r="AF43" s="5" t="n"/>
      <c r="AG43" s="5" t="n"/>
      <c r="AH43" s="5" t="n"/>
      <c r="AI43" s="5" t="n"/>
      <c r="AJ43" s="5" t="n"/>
      <c r="AK43" s="5" t="n"/>
      <c r="AL43" s="5" t="n"/>
      <c r="AM43" s="5" t="n"/>
      <c r="AN43" s="5" t="n"/>
      <c r="AO43" s="5" t="n"/>
      <c r="AP43" s="5" t="n"/>
      <c r="AQ43" s="5" t="n"/>
      <c r="AR43" s="5" t="n"/>
      <c r="AS43" s="5" t="n"/>
      <c r="AT43" s="5" t="n"/>
      <c r="AU43" s="5" t="n"/>
      <c r="AV43" s="5" t="n"/>
      <c r="AW43" s="5" t="n"/>
      <c r="AX43" s="5" t="n"/>
      <c r="AY43" s="5" t="n"/>
      <c r="AZ43" s="5" t="n"/>
      <c r="BA43" s="5" t="n"/>
      <c r="BB43" s="5" t="n"/>
      <c r="BC43" s="5" t="n"/>
      <c r="BD43" s="5" t="n"/>
      <c r="BE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  <c r="AC44" s="5" t="n"/>
      <c r="AD44" s="5" t="n"/>
      <c r="AE44" s="5" t="n"/>
      <c r="AF44" s="5" t="n"/>
      <c r="AG44" s="5" t="n"/>
      <c r="AH44" s="5" t="n"/>
      <c r="AI44" s="5" t="n"/>
      <c r="AJ44" s="5" t="n"/>
      <c r="AK44" s="5" t="n"/>
      <c r="AL44" s="5" t="n"/>
      <c r="AM44" s="5" t="n"/>
      <c r="AN44" s="5" t="n"/>
      <c r="AO44" s="5" t="n"/>
      <c r="AP44" s="5" t="n"/>
      <c r="AQ44" s="5" t="n"/>
      <c r="AR44" s="5" t="n"/>
      <c r="AS44" s="5" t="n"/>
      <c r="AT44" s="5" t="n"/>
      <c r="AU44" s="5" t="n"/>
      <c r="AV44" s="5" t="n"/>
      <c r="AW44" s="5" t="n"/>
      <c r="AX44" s="5" t="n"/>
      <c r="AY44" s="5" t="n"/>
      <c r="AZ44" s="5" t="n"/>
      <c r="BA44" s="5" t="n"/>
      <c r="BB44" s="5" t="n"/>
      <c r="BC44" s="5" t="n"/>
      <c r="BD44" s="5" t="n"/>
      <c r="BE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  <c r="K45" s="5" t="n"/>
      <c r="L45" s="5" t="n"/>
      <c r="M45" s="5" t="n"/>
      <c r="N45" s="5" t="n"/>
      <c r="O45" s="5" t="n"/>
      <c r="P45" s="5" t="n"/>
      <c r="Q45" s="5" t="n"/>
      <c r="R45" s="5" t="n"/>
      <c r="S45" s="5" t="n"/>
      <c r="T45" s="5" t="n"/>
      <c r="U45" s="5" t="n"/>
      <c r="V45" s="5" t="n"/>
      <c r="W45" s="5" t="n"/>
      <c r="X45" s="5" t="n"/>
      <c r="Y45" s="5" t="n"/>
      <c r="Z45" s="5" t="n"/>
      <c r="AA45" s="5" t="n"/>
      <c r="AB45" s="5" t="n"/>
      <c r="AC45" s="5" t="n"/>
      <c r="AD45" s="5" t="n"/>
      <c r="AE45" s="5" t="n"/>
      <c r="AF45" s="5" t="n"/>
      <c r="AG45" s="5" t="n"/>
      <c r="AH45" s="5" t="n"/>
      <c r="AI45" s="5" t="n"/>
      <c r="AJ45" s="5" t="n"/>
      <c r="AK45" s="5" t="n"/>
      <c r="AL45" s="5" t="n"/>
      <c r="AM45" s="5" t="n"/>
      <c r="AN45" s="5" t="n"/>
      <c r="AO45" s="5" t="n"/>
      <c r="AP45" s="5" t="n"/>
      <c r="AQ45" s="5" t="n"/>
      <c r="AR45" s="5" t="n"/>
      <c r="AS45" s="5" t="n"/>
      <c r="AT45" s="5" t="n"/>
      <c r="AU45" s="5" t="n"/>
      <c r="AV45" s="5" t="n"/>
      <c r="AW45" s="5" t="n"/>
      <c r="AX45" s="5" t="n"/>
      <c r="AY45" s="5" t="n"/>
      <c r="AZ45" s="5" t="n"/>
      <c r="BA45" s="5" t="n"/>
      <c r="BB45" s="5" t="n"/>
      <c r="BC45" s="5" t="n"/>
      <c r="BD45" s="5" t="n"/>
      <c r="BE45" s="5" t="n"/>
    </row>
    <row r="46">
      <c r="A46" s="5" t="inlineStr">
        <is>
          <t>年份</t>
        </is>
      </c>
      <c r="B46" s="5" t="inlineStr">
        <is>
          <t>运营期内</t>
        </is>
      </c>
      <c r="C46" s="5" t="inlineStr">
        <is>
          <t>衰减系数</t>
        </is>
      </c>
      <c r="D46" s="5" t="inlineStr">
        <is>
          <t>自用电量</t>
        </is>
      </c>
      <c r="E46" s="5" t="inlineStr">
        <is>
          <t>上网电量</t>
        </is>
      </c>
      <c r="F46" s="5" t="inlineStr">
        <is>
          <t>含税收入</t>
        </is>
      </c>
      <c r="G46" s="5" t="inlineStr">
        <is>
          <t>不含税收入</t>
        </is>
      </c>
      <c r="H46" s="5" t="inlineStr">
        <is>
          <t>销项税</t>
        </is>
      </c>
      <c r="I46" s="5" t="inlineStr">
        <is>
          <t>更换支出</t>
        </is>
      </c>
      <c r="J46" s="5" t="inlineStr">
        <is>
          <t>更换进项税</t>
        </is>
      </c>
      <c r="K46" s="5" t="inlineStr">
        <is>
          <t>进项池期初</t>
        </is>
      </c>
      <c r="L46" s="5" t="inlineStr">
        <is>
          <t>实缴增值税</t>
        </is>
      </c>
      <c r="M46" s="5" t="inlineStr">
        <is>
          <t>进项池期末</t>
        </is>
      </c>
      <c r="N46" s="5" t="inlineStr">
        <is>
          <t>附加税费</t>
        </is>
      </c>
      <c r="O46" s="5" t="inlineStr">
        <is>
          <t>期初贷款余额</t>
        </is>
      </c>
      <c r="P46" s="5" t="inlineStr">
        <is>
          <t>利息</t>
        </is>
      </c>
      <c r="Q46" s="5" t="inlineStr">
        <is>
          <t>还本付息</t>
        </is>
      </c>
      <c r="R46" s="5" t="inlineStr">
        <is>
          <t>还本</t>
        </is>
      </c>
      <c r="S46" s="5" t="inlineStr">
        <is>
          <t>期末贷款余额</t>
        </is>
      </c>
      <c r="T46" s="5" t="inlineStr">
        <is>
          <t>折旧</t>
        </is>
      </c>
      <c r="U46" s="5" t="inlineStr">
        <is>
          <t>免减系数</t>
        </is>
      </c>
      <c r="V46" s="5" t="inlineStr">
        <is>
          <t>有效税率系数</t>
        </is>
      </c>
      <c r="W46" s="5" t="inlineStr">
        <is>
          <t>EBT全投资</t>
        </is>
      </c>
      <c r="X46" s="5" t="inlineStr">
        <is>
          <t>亏损池A·1年</t>
        </is>
      </c>
      <c r="Y46" s="5" t="inlineStr">
        <is>
          <t>亏损池A·2年</t>
        </is>
      </c>
      <c r="Z46" s="5" t="inlineStr">
        <is>
          <t>亏损池A·3年</t>
        </is>
      </c>
      <c r="AA46" s="5" t="inlineStr">
        <is>
          <t>亏损池A·4年</t>
        </is>
      </c>
      <c r="AB46" s="5" t="inlineStr">
        <is>
          <t>亏损池A·5年</t>
        </is>
      </c>
      <c r="AC46" s="5" t="inlineStr">
        <is>
          <t>亏损池A·当年弥补</t>
        </is>
      </c>
      <c r="AD46" s="5" t="inlineStr">
        <is>
          <t>应税所得·全投资</t>
        </is>
      </c>
      <c r="AE46" s="5" t="inlineStr">
        <is>
          <t>所得税·全投资</t>
        </is>
      </c>
      <c r="AF46" s="5" t="inlineStr">
        <is>
          <t>EBT资本金</t>
        </is>
      </c>
      <c r="AG46" s="5" t="inlineStr">
        <is>
          <t>亏损池E·1年</t>
        </is>
      </c>
      <c r="AH46" s="5" t="inlineStr">
        <is>
          <t>亏损池E·2年</t>
        </is>
      </c>
      <c r="AI46" s="5" t="inlineStr">
        <is>
          <t>亏损池E·3年</t>
        </is>
      </c>
      <c r="AJ46" s="5" t="inlineStr">
        <is>
          <t>亏损池E·4年</t>
        </is>
      </c>
      <c r="AK46" s="5" t="inlineStr">
        <is>
          <t>亏损池E·5年</t>
        </is>
      </c>
      <c r="AL46" s="5" t="inlineStr">
        <is>
          <t>亏损池E·当年弥补</t>
        </is>
      </c>
      <c r="AM46" s="5" t="inlineStr">
        <is>
          <t>应税所得·资本金</t>
        </is>
      </c>
      <c r="AN46" s="5" t="inlineStr">
        <is>
          <t>所得税·资本金</t>
        </is>
      </c>
      <c r="AO46" s="5" t="inlineStr">
        <is>
          <t>期末回收</t>
        </is>
      </c>
      <c r="AP46" s="5" t="inlineStr">
        <is>
          <t>税前全投资净现金流</t>
        </is>
      </c>
      <c r="AQ46" s="5" t="inlineStr">
        <is>
          <t>税后全投资净现金流</t>
        </is>
      </c>
      <c r="AR46" s="5" t="inlineStr">
        <is>
          <t>资本金净现金流</t>
        </is>
      </c>
      <c r="AS46" s="5" t="inlineStr">
        <is>
          <t>累计税后</t>
        </is>
      </c>
      <c r="AT46" s="5" t="inlineStr">
        <is>
          <t>转正标志</t>
        </is>
      </c>
      <c r="AU46" s="5" t="inlineStr">
        <is>
          <t>折现税后</t>
        </is>
      </c>
      <c r="AV46" s="5" t="inlineStr">
        <is>
          <t>累计折现</t>
        </is>
      </c>
      <c r="AW46" s="5" t="inlineStr">
        <is>
          <t>转正标志动态</t>
        </is>
      </c>
      <c r="AX46" s="5" t="inlineStr">
        <is>
          <t>实发电量衰减后</t>
        </is>
      </c>
      <c r="AY46" s="5" t="inlineStr">
        <is>
          <t>LCOE年成本</t>
        </is>
      </c>
      <c r="AZ46" s="5" t="inlineStr">
        <is>
          <t>符号跟踪·税前</t>
        </is>
      </c>
      <c r="BA46" s="5" t="inlineStr">
        <is>
          <t>变号计数·税前</t>
        </is>
      </c>
      <c r="BB46" s="5" t="inlineStr">
        <is>
          <t>符号跟踪·税后</t>
        </is>
      </c>
      <c r="BC46" s="5" t="inlineStr">
        <is>
          <t>变号计数·税后</t>
        </is>
      </c>
      <c r="BD46" s="5" t="inlineStr">
        <is>
          <t>符号跟踪·资本金</t>
        </is>
      </c>
      <c r="BE46" s="5" t="inlineStr">
        <is>
          <t>变号计数·资本金</t>
        </is>
      </c>
    </row>
    <row r="47">
      <c r="A47" s="5" t="n">
        <v>0</v>
      </c>
      <c r="B47" s="5">
        <f>FALSE</f>
        <v/>
      </c>
      <c r="C47" s="5" t="n">
        <v>0</v>
      </c>
      <c r="D47" s="5" t="n">
        <v>0</v>
      </c>
      <c r="E47" s="5" t="n">
        <v>0</v>
      </c>
      <c r="F47" s="5" t="n">
        <v>0</v>
      </c>
      <c r="G47" s="5" t="n">
        <v>0</v>
      </c>
      <c r="H47" s="5" t="n">
        <v>0</v>
      </c>
      <c r="I47" s="5" t="n">
        <v>0</v>
      </c>
      <c r="J47" s="5" t="n">
        <v>0</v>
      </c>
      <c r="K47" s="5" t="n">
        <v>0</v>
      </c>
      <c r="L47" s="5" t="n">
        <v>0</v>
      </c>
      <c r="M47" s="5">
        <f>_zh2s1v</f>
        <v/>
      </c>
      <c r="N47" s="5" t="n">
        <v>0</v>
      </c>
      <c r="O47" s="5" t="n">
        <v>0</v>
      </c>
      <c r="P47" s="5" t="n">
        <v>0</v>
      </c>
      <c r="Q47" s="5" t="n">
        <v>0</v>
      </c>
      <c r="R47" s="5" t="n">
        <v>0</v>
      </c>
      <c r="S47" s="5">
        <f>_zmqr32</f>
        <v/>
      </c>
      <c r="T47" s="5" t="n">
        <v>0</v>
      </c>
      <c r="U47" s="5" t="n">
        <v>0</v>
      </c>
      <c r="V47" s="5" t="n">
        <v>0</v>
      </c>
      <c r="W47" s="5" t="n">
        <v>0</v>
      </c>
      <c r="X47" s="5" t="n">
        <v>0</v>
      </c>
      <c r="Y47" s="5" t="n">
        <v>0</v>
      </c>
      <c r="Z47" s="5" t="n">
        <v>0</v>
      </c>
      <c r="AA47" s="5" t="n">
        <v>0</v>
      </c>
      <c r="AB47" s="5" t="n">
        <v>0</v>
      </c>
      <c r="AC47" s="5" t="n">
        <v>0</v>
      </c>
      <c r="AD47" s="5" t="n">
        <v>0</v>
      </c>
      <c r="AE47" s="5" t="n">
        <v>0</v>
      </c>
      <c r="AF47" s="5" t="n">
        <v>0</v>
      </c>
      <c r="AG47" s="5" t="n">
        <v>0</v>
      </c>
      <c r="AH47" s="5" t="n">
        <v>0</v>
      </c>
      <c r="AI47" s="5" t="n">
        <v>0</v>
      </c>
      <c r="AJ47" s="5" t="n">
        <v>0</v>
      </c>
      <c r="AK47" s="5" t="n">
        <v>0</v>
      </c>
      <c r="AL47" s="5" t="n">
        <v>0</v>
      </c>
      <c r="AM47" s="5" t="n">
        <v>0</v>
      </c>
      <c r="AN47" s="5" t="n">
        <v>0</v>
      </c>
      <c r="AO47" s="5" t="n">
        <v>0</v>
      </c>
      <c r="AP47" s="5">
        <f>-_z1tt59</f>
        <v/>
      </c>
      <c r="AQ47" s="5">
        <f>-_z1tt59</f>
        <v/>
      </c>
      <c r="AR47" s="5">
        <f>-_zn0hoh</f>
        <v/>
      </c>
      <c r="AS47" s="5">
        <f>AQ47</f>
        <v/>
      </c>
      <c r="AT47" s="5" t="n">
        <v>0</v>
      </c>
      <c r="AU47" s="5">
        <f>AQ47</f>
        <v/>
      </c>
      <c r="AV47" s="5">
        <f>AU47</f>
        <v/>
      </c>
      <c r="AW47" s="5" t="n">
        <v>0</v>
      </c>
      <c r="AX47" s="5" t="n">
        <v>0</v>
      </c>
      <c r="AY47" s="5" t="n">
        <v>0</v>
      </c>
      <c r="AZ47" s="5">
        <f>SIGN(AP47)</f>
        <v/>
      </c>
      <c r="BA47" s="5" t="n">
        <v>0</v>
      </c>
      <c r="BB47" s="5">
        <f>SIGN(AQ47)</f>
        <v/>
      </c>
      <c r="BC47" s="5" t="n">
        <v>0</v>
      </c>
      <c r="BD47" s="5">
        <f>SIGN(AR47)</f>
        <v/>
      </c>
      <c r="BE47" s="5" t="n">
        <v>0</v>
      </c>
    </row>
    <row r="48">
      <c r="A48" s="5" t="n">
        <v>1</v>
      </c>
      <c r="B48" s="5">
        <f>AND(A48&gt;=1,A48&lt;=_zx5hja)</f>
        <v/>
      </c>
      <c r="C48" s="5">
        <f>IF(B48,(1-_zg5443)^(A48-1),0)</f>
        <v/>
      </c>
      <c r="D48" s="5">
        <f>_zt11ik*C48</f>
        <v/>
      </c>
      <c r="E48" s="5">
        <f>_z5gr99*C48</f>
        <v/>
      </c>
      <c r="F48" s="5">
        <f>_zk8d4f*D48+_zsw7bq*E48</f>
        <v/>
      </c>
      <c r="G48" s="5">
        <f>F48/(1+0.13)</f>
        <v/>
      </c>
      <c r="H48" s="5">
        <f>F48-G48</f>
        <v/>
      </c>
      <c r="I48" s="5">
        <f>IF(AND(B48,A48=_ztfkfy),_z67r2o*_z0m7ys,0)</f>
        <v/>
      </c>
      <c r="J48" s="5">
        <f>I48*0.13/(1+0.13)</f>
        <v/>
      </c>
      <c r="K48" s="5">
        <f>M47+J48</f>
        <v/>
      </c>
      <c r="L48" s="5">
        <f>MAX(0,H48-K48)</f>
        <v/>
      </c>
      <c r="M48" s="5">
        <f>MAX(0,K48-H48)</f>
        <v/>
      </c>
      <c r="N48" s="5">
        <f>L48*0.12</f>
        <v/>
      </c>
      <c r="O48" s="5">
        <f>S47</f>
        <v/>
      </c>
      <c r="P48" s="5">
        <f>IF(AND(B48,A48&lt;=_z2al7i),O48*_zyywx7,0)</f>
        <v/>
      </c>
      <c r="Q48" s="5">
        <f>IF(AND(B48,A48&lt;=_z2al7i),_zgsfrl,0)</f>
        <v/>
      </c>
      <c r="R48" s="5">
        <f>Q48-P48</f>
        <v/>
      </c>
      <c r="S48" s="5">
        <f>MAX(0,O48-R48)</f>
        <v/>
      </c>
      <c r="T48" s="5">
        <f>IF(AND(B48,A48&lt;=_zupe8l),_z0jo6h,0)</f>
        <v/>
      </c>
      <c r="U48" s="5">
        <f>IF((_zhsdpd="是"),IF(A48&lt;=3,0,IF(A48&lt;=6,0.5,1)),1)</f>
        <v/>
      </c>
      <c r="V48" s="5">
        <f>_zrzkf6*U48+(1-_zrzkf6)</f>
        <v/>
      </c>
      <c r="W48" s="5">
        <f>IF(B48,G48-_zkfhzg-N48-T48-I48,0)</f>
        <v/>
      </c>
      <c r="X48" s="5">
        <f>MAX(0,-W47)</f>
        <v/>
      </c>
      <c r="Y48" s="5">
        <f>MIN(X47,MAX(0,(AB47+AA47+Z47+Y47+X47)-AC47))</f>
        <v/>
      </c>
      <c r="Z48" s="5">
        <f>MIN(Y47,MAX(0,(AB47+AA47+Z47+Y47)-AC47))</f>
        <v/>
      </c>
      <c r="AA48" s="5">
        <f>MIN(Z47,MAX(0,(AB47+AA47+Z47)-AC47))</f>
        <v/>
      </c>
      <c r="AB48" s="5">
        <f>MIN(AA47,MAX(0,(AB47+AA47)-AC47))</f>
        <v/>
      </c>
      <c r="AC48" s="5">
        <f>MIN(MAX(W48,0),X48+Y48+Z48+AA48+AB48)</f>
        <v/>
      </c>
      <c r="AD48" s="5">
        <f>MAX(W48,0)-AC48</f>
        <v/>
      </c>
      <c r="AE48" s="5">
        <f>AD48*_zs8hxw*V48</f>
        <v/>
      </c>
      <c r="AF48" s="5">
        <f>IF(B48,W48-P48,0)</f>
        <v/>
      </c>
      <c r="AG48" s="5">
        <f>MAX(0,-AF47)</f>
        <v/>
      </c>
      <c r="AH48" s="5">
        <f>MIN(AG47,MAX(0,(AK47+AJ47+AI47+AH47+AG47)-AL47))</f>
        <v/>
      </c>
      <c r="AI48" s="5">
        <f>MIN(AH47,MAX(0,(AK47+AJ47+AI47+AH47)-AL47))</f>
        <v/>
      </c>
      <c r="AJ48" s="5">
        <f>MIN(AI47,MAX(0,(AK47+AJ47+AI47)-AL47))</f>
        <v/>
      </c>
      <c r="AK48" s="5">
        <f>MIN(AJ47,MAX(0,(AK47+AJ47)-AL47))</f>
        <v/>
      </c>
      <c r="AL48" s="5">
        <f>MIN(MAX(AF48,0),AG48+AH48+AI48+AJ48+AK48)</f>
        <v/>
      </c>
      <c r="AM48" s="5">
        <f>MAX(AF48,0)-AL48</f>
        <v/>
      </c>
      <c r="AN48" s="5">
        <f>AM48*_zs8hxw*V48</f>
        <v/>
      </c>
      <c r="AO48" s="5">
        <f>IF(A48=_zx5hja,_zk1wd3,0)</f>
        <v/>
      </c>
      <c r="AP48" s="5">
        <f>IF(B48,F48-_zkfhzg-L48-N48-I48+AO48,0)</f>
        <v/>
      </c>
      <c r="AQ48" s="5">
        <f>AP48-AE48</f>
        <v/>
      </c>
      <c r="AR48" s="5">
        <f>IF(B48,F48-_zkfhzg-L48-N48-I48-Q48-AN48+AO48-IF(AND(A48=_zx5hja,_z2al7i&gt;_zx5hja),S48,0),0)</f>
        <v/>
      </c>
      <c r="AS48" s="5">
        <f>AS47+AQ48</f>
        <v/>
      </c>
      <c r="AT48" s="5">
        <f>IF(AND(AS47&lt;0,AS48&gt;=0,AQ48&gt;0),1,0)</f>
        <v/>
      </c>
      <c r="AU48" s="5">
        <f>AQ48/(1+_zawtbl)^A48</f>
        <v/>
      </c>
      <c r="AV48" s="5">
        <f>AV47+AU48</f>
        <v/>
      </c>
      <c r="AW48" s="5">
        <f>IF(AND(AV47&lt;0,AV48&gt;=0,AU48&gt;0),1,0)</f>
        <v/>
      </c>
      <c r="AX48" s="5">
        <f>_zs8nv3*C48</f>
        <v/>
      </c>
      <c r="AY48" s="5">
        <f>IF(B48,_zkfhzg+I48-AO48,0)</f>
        <v/>
      </c>
      <c r="AZ48" s="5">
        <f>IF(AP48=0,AZ47,SIGN(AP48))</f>
        <v/>
      </c>
      <c r="BA48" s="5">
        <f>BA47+IF(OR(AP48=0,AZ47=0),0,IF(SIGN(AP48)&lt;&gt;AZ47,1,0))</f>
        <v/>
      </c>
      <c r="BB48" s="5">
        <f>IF(AQ48=0,BB47,SIGN(AQ48))</f>
        <v/>
      </c>
      <c r="BC48" s="5">
        <f>BC47+IF(OR(AQ48=0,BB47=0),0,IF(SIGN(AQ48)&lt;&gt;BB47,1,0))</f>
        <v/>
      </c>
      <c r="BD48" s="5">
        <f>IF(AR48=0,BD47,SIGN(AR48))</f>
        <v/>
      </c>
      <c r="BE48" s="5">
        <f>BE47+IF(OR(AR48=0,BD47=0),0,IF(SIGN(AR48)&lt;&gt;BD47,1,0))</f>
        <v/>
      </c>
    </row>
    <row r="49">
      <c r="A49" s="5" t="n">
        <v>2</v>
      </c>
      <c r="B49" s="5">
        <f>AND(A49&gt;=1,A49&lt;=_zx5hja)</f>
        <v/>
      </c>
      <c r="C49" s="5">
        <f>IF(B49,(1-_zg5443)^(A49-1),0)</f>
        <v/>
      </c>
      <c r="D49" s="5">
        <f>_zt11ik*C49</f>
        <v/>
      </c>
      <c r="E49" s="5">
        <f>_z5gr99*C49</f>
        <v/>
      </c>
      <c r="F49" s="5">
        <f>_zk8d4f*D49+_zsw7bq*E49</f>
        <v/>
      </c>
      <c r="G49" s="5">
        <f>F49/(1+0.13)</f>
        <v/>
      </c>
      <c r="H49" s="5">
        <f>F49-G49</f>
        <v/>
      </c>
      <c r="I49" s="5">
        <f>IF(AND(B49,A49=_ztfkfy),_z67r2o*_z0m7ys,0)</f>
        <v/>
      </c>
      <c r="J49" s="5">
        <f>I49*0.13/(1+0.13)</f>
        <v/>
      </c>
      <c r="K49" s="5">
        <f>M48+J49</f>
        <v/>
      </c>
      <c r="L49" s="5">
        <f>MAX(0,H49-K49)</f>
        <v/>
      </c>
      <c r="M49" s="5">
        <f>MAX(0,K49-H49)</f>
        <v/>
      </c>
      <c r="N49" s="5">
        <f>L49*0.12</f>
        <v/>
      </c>
      <c r="O49" s="5">
        <f>S48</f>
        <v/>
      </c>
      <c r="P49" s="5">
        <f>IF(AND(B49,A49&lt;=_z2al7i),O49*_zyywx7,0)</f>
        <v/>
      </c>
      <c r="Q49" s="5">
        <f>IF(AND(B49,A49&lt;=_z2al7i),_zgsfrl,0)</f>
        <v/>
      </c>
      <c r="R49" s="5">
        <f>Q49-P49</f>
        <v/>
      </c>
      <c r="S49" s="5">
        <f>MAX(0,O49-R49)</f>
        <v/>
      </c>
      <c r="T49" s="5">
        <f>IF(AND(B49,A49&lt;=_zupe8l),_z0jo6h,0)</f>
        <v/>
      </c>
      <c r="U49" s="5">
        <f>IF((_zhsdpd="是"),IF(A49&lt;=3,0,IF(A49&lt;=6,0.5,1)),1)</f>
        <v/>
      </c>
      <c r="V49" s="5">
        <f>_zrzkf6*U49+(1-_zrzkf6)</f>
        <v/>
      </c>
      <c r="W49" s="5">
        <f>IF(B49,G49-_zkfhzg-N49-T49-I49,0)</f>
        <v/>
      </c>
      <c r="X49" s="5">
        <f>MAX(0,-W48)</f>
        <v/>
      </c>
      <c r="Y49" s="5">
        <f>MIN(X48,MAX(0,(AB48+AA48+Z48+Y48+X48)-AC48))</f>
        <v/>
      </c>
      <c r="Z49" s="5">
        <f>MIN(Y48,MAX(0,(AB48+AA48+Z48+Y48)-AC48))</f>
        <v/>
      </c>
      <c r="AA49" s="5">
        <f>MIN(Z48,MAX(0,(AB48+AA48+Z48)-AC48))</f>
        <v/>
      </c>
      <c r="AB49" s="5">
        <f>MIN(AA48,MAX(0,(AB48+AA48)-AC48))</f>
        <v/>
      </c>
      <c r="AC49" s="5">
        <f>MIN(MAX(W49,0),X49+Y49+Z49+AA49+AB49)</f>
        <v/>
      </c>
      <c r="AD49" s="5">
        <f>MAX(W49,0)-AC49</f>
        <v/>
      </c>
      <c r="AE49" s="5">
        <f>AD49*_zs8hxw*V49</f>
        <v/>
      </c>
      <c r="AF49" s="5">
        <f>IF(B49,W49-P49,0)</f>
        <v/>
      </c>
      <c r="AG49" s="5">
        <f>MAX(0,-AF48)</f>
        <v/>
      </c>
      <c r="AH49" s="5">
        <f>MIN(AG48,MAX(0,(AK48+AJ48+AI48+AH48+AG48)-AL48))</f>
        <v/>
      </c>
      <c r="AI49" s="5">
        <f>MIN(AH48,MAX(0,(AK48+AJ48+AI48+AH48)-AL48))</f>
        <v/>
      </c>
      <c r="AJ49" s="5">
        <f>MIN(AI48,MAX(0,(AK48+AJ48+AI48)-AL48))</f>
        <v/>
      </c>
      <c r="AK49" s="5">
        <f>MIN(AJ48,MAX(0,(AK48+AJ48)-AL48))</f>
        <v/>
      </c>
      <c r="AL49" s="5">
        <f>MIN(MAX(AF49,0),AG49+AH49+AI49+AJ49+AK49)</f>
        <v/>
      </c>
      <c r="AM49" s="5">
        <f>MAX(AF49,0)-AL49</f>
        <v/>
      </c>
      <c r="AN49" s="5">
        <f>AM49*_zs8hxw*V49</f>
        <v/>
      </c>
      <c r="AO49" s="5">
        <f>IF(A49=_zx5hja,_zk1wd3,0)</f>
        <v/>
      </c>
      <c r="AP49" s="5">
        <f>IF(B49,F49-_zkfhzg-L49-N49-I49+AO49,0)</f>
        <v/>
      </c>
      <c r="AQ49" s="5">
        <f>AP49-AE49</f>
        <v/>
      </c>
      <c r="AR49" s="5">
        <f>IF(B49,F49-_zkfhzg-L49-N49-I49-Q49-AN49+AO49-IF(AND(A49=_zx5hja,_z2al7i&gt;_zx5hja),S49,0),0)</f>
        <v/>
      </c>
      <c r="AS49" s="5">
        <f>AS48+AQ49</f>
        <v/>
      </c>
      <c r="AT49" s="5">
        <f>IF(AND(AS48&lt;0,AS49&gt;=0,AQ49&gt;0),1,0)</f>
        <v/>
      </c>
      <c r="AU49" s="5">
        <f>AQ49/(1+_zawtbl)^A49</f>
        <v/>
      </c>
      <c r="AV49" s="5">
        <f>AV48+AU49</f>
        <v/>
      </c>
      <c r="AW49" s="5">
        <f>IF(AND(AV48&lt;0,AV49&gt;=0,AU49&gt;0),1,0)</f>
        <v/>
      </c>
      <c r="AX49" s="5">
        <f>_zs8nv3*C49</f>
        <v/>
      </c>
      <c r="AY49" s="5">
        <f>IF(B49,_zkfhzg+I49-AO49,0)</f>
        <v/>
      </c>
      <c r="AZ49" s="5">
        <f>IF(AP49=0,AZ48,SIGN(AP49))</f>
        <v/>
      </c>
      <c r="BA49" s="5">
        <f>BA48+IF(OR(AP49=0,AZ48=0),0,IF(SIGN(AP49)&lt;&gt;AZ48,1,0))</f>
        <v/>
      </c>
      <c r="BB49" s="5">
        <f>IF(AQ49=0,BB48,SIGN(AQ49))</f>
        <v/>
      </c>
      <c r="BC49" s="5">
        <f>BC48+IF(OR(AQ49=0,BB48=0),0,IF(SIGN(AQ49)&lt;&gt;BB48,1,0))</f>
        <v/>
      </c>
      <c r="BD49" s="5">
        <f>IF(AR49=0,BD48,SIGN(AR49))</f>
        <v/>
      </c>
      <c r="BE49" s="5">
        <f>BE48+IF(OR(AR49=0,BD48=0),0,IF(SIGN(AR49)&lt;&gt;BD48,1,0))</f>
        <v/>
      </c>
    </row>
    <row r="50">
      <c r="A50" s="5" t="n">
        <v>3</v>
      </c>
      <c r="B50" s="5">
        <f>AND(A50&gt;=1,A50&lt;=_zx5hja)</f>
        <v/>
      </c>
      <c r="C50" s="5">
        <f>IF(B50,(1-_zg5443)^(A50-1),0)</f>
        <v/>
      </c>
      <c r="D50" s="5">
        <f>_zt11ik*C50</f>
        <v/>
      </c>
      <c r="E50" s="5">
        <f>_z5gr99*C50</f>
        <v/>
      </c>
      <c r="F50" s="5">
        <f>_zk8d4f*D50+_zsw7bq*E50</f>
        <v/>
      </c>
      <c r="G50" s="5">
        <f>F50/(1+0.13)</f>
        <v/>
      </c>
      <c r="H50" s="5">
        <f>F50-G50</f>
        <v/>
      </c>
      <c r="I50" s="5">
        <f>IF(AND(B50,A50=_ztfkfy),_z67r2o*_z0m7ys,0)</f>
        <v/>
      </c>
      <c r="J50" s="5">
        <f>I50*0.13/(1+0.13)</f>
        <v/>
      </c>
      <c r="K50" s="5">
        <f>M49+J50</f>
        <v/>
      </c>
      <c r="L50" s="5">
        <f>MAX(0,H50-K50)</f>
        <v/>
      </c>
      <c r="M50" s="5">
        <f>MAX(0,K50-H50)</f>
        <v/>
      </c>
      <c r="N50" s="5">
        <f>L50*0.12</f>
        <v/>
      </c>
      <c r="O50" s="5">
        <f>S49</f>
        <v/>
      </c>
      <c r="P50" s="5">
        <f>IF(AND(B50,A50&lt;=_z2al7i),O50*_zyywx7,0)</f>
        <v/>
      </c>
      <c r="Q50" s="5">
        <f>IF(AND(B50,A50&lt;=_z2al7i),_zgsfrl,0)</f>
        <v/>
      </c>
      <c r="R50" s="5">
        <f>Q50-P50</f>
        <v/>
      </c>
      <c r="S50" s="5">
        <f>MAX(0,O50-R50)</f>
        <v/>
      </c>
      <c r="T50" s="5">
        <f>IF(AND(B50,A50&lt;=_zupe8l),_z0jo6h,0)</f>
        <v/>
      </c>
      <c r="U50" s="5">
        <f>IF((_zhsdpd="是"),IF(A50&lt;=3,0,IF(A50&lt;=6,0.5,1)),1)</f>
        <v/>
      </c>
      <c r="V50" s="5">
        <f>_zrzkf6*U50+(1-_zrzkf6)</f>
        <v/>
      </c>
      <c r="W50" s="5">
        <f>IF(B50,G50-_zkfhzg-N50-T50-I50,0)</f>
        <v/>
      </c>
      <c r="X50" s="5">
        <f>MAX(0,-W49)</f>
        <v/>
      </c>
      <c r="Y50" s="5">
        <f>MIN(X49,MAX(0,(AB49+AA49+Z49+Y49+X49)-AC49))</f>
        <v/>
      </c>
      <c r="Z50" s="5">
        <f>MIN(Y49,MAX(0,(AB49+AA49+Z49+Y49)-AC49))</f>
        <v/>
      </c>
      <c r="AA50" s="5">
        <f>MIN(Z49,MAX(0,(AB49+AA49+Z49)-AC49))</f>
        <v/>
      </c>
      <c r="AB50" s="5">
        <f>MIN(AA49,MAX(0,(AB49+AA49)-AC49))</f>
        <v/>
      </c>
      <c r="AC50" s="5">
        <f>MIN(MAX(W50,0),X50+Y50+Z50+AA50+AB50)</f>
        <v/>
      </c>
      <c r="AD50" s="5">
        <f>MAX(W50,0)-AC50</f>
        <v/>
      </c>
      <c r="AE50" s="5">
        <f>AD50*_zs8hxw*V50</f>
        <v/>
      </c>
      <c r="AF50" s="5">
        <f>IF(B50,W50-P50,0)</f>
        <v/>
      </c>
      <c r="AG50" s="5">
        <f>MAX(0,-AF49)</f>
        <v/>
      </c>
      <c r="AH50" s="5">
        <f>MIN(AG49,MAX(0,(AK49+AJ49+AI49+AH49+AG49)-AL49))</f>
        <v/>
      </c>
      <c r="AI50" s="5">
        <f>MIN(AH49,MAX(0,(AK49+AJ49+AI49+AH49)-AL49))</f>
        <v/>
      </c>
      <c r="AJ50" s="5">
        <f>MIN(AI49,MAX(0,(AK49+AJ49+AI49)-AL49))</f>
        <v/>
      </c>
      <c r="AK50" s="5">
        <f>MIN(AJ49,MAX(0,(AK49+AJ49)-AL49))</f>
        <v/>
      </c>
      <c r="AL50" s="5">
        <f>MIN(MAX(AF50,0),AG50+AH50+AI50+AJ50+AK50)</f>
        <v/>
      </c>
      <c r="AM50" s="5">
        <f>MAX(AF50,0)-AL50</f>
        <v/>
      </c>
      <c r="AN50" s="5">
        <f>AM50*_zs8hxw*V50</f>
        <v/>
      </c>
      <c r="AO50" s="5">
        <f>IF(A50=_zx5hja,_zk1wd3,0)</f>
        <v/>
      </c>
      <c r="AP50" s="5">
        <f>IF(B50,F50-_zkfhzg-L50-N50-I50+AO50,0)</f>
        <v/>
      </c>
      <c r="AQ50" s="5">
        <f>AP50-AE50</f>
        <v/>
      </c>
      <c r="AR50" s="5">
        <f>IF(B50,F50-_zkfhzg-L50-N50-I50-Q50-AN50+AO50-IF(AND(A50=_zx5hja,_z2al7i&gt;_zx5hja),S50,0),0)</f>
        <v/>
      </c>
      <c r="AS50" s="5">
        <f>AS49+AQ50</f>
        <v/>
      </c>
      <c r="AT50" s="5">
        <f>IF(AND(AS49&lt;0,AS50&gt;=0,AQ50&gt;0),1,0)</f>
        <v/>
      </c>
      <c r="AU50" s="5">
        <f>AQ50/(1+_zawtbl)^A50</f>
        <v/>
      </c>
      <c r="AV50" s="5">
        <f>AV49+AU50</f>
        <v/>
      </c>
      <c r="AW50" s="5">
        <f>IF(AND(AV49&lt;0,AV50&gt;=0,AU50&gt;0),1,0)</f>
        <v/>
      </c>
      <c r="AX50" s="5">
        <f>_zs8nv3*C50</f>
        <v/>
      </c>
      <c r="AY50" s="5">
        <f>IF(B50,_zkfhzg+I50-AO50,0)</f>
        <v/>
      </c>
      <c r="AZ50" s="5">
        <f>IF(AP50=0,AZ49,SIGN(AP50))</f>
        <v/>
      </c>
      <c r="BA50" s="5">
        <f>BA49+IF(OR(AP50=0,AZ49=0),0,IF(SIGN(AP50)&lt;&gt;AZ49,1,0))</f>
        <v/>
      </c>
      <c r="BB50" s="5">
        <f>IF(AQ50=0,BB49,SIGN(AQ50))</f>
        <v/>
      </c>
      <c r="BC50" s="5">
        <f>BC49+IF(OR(AQ50=0,BB49=0),0,IF(SIGN(AQ50)&lt;&gt;BB49,1,0))</f>
        <v/>
      </c>
      <c r="BD50" s="5">
        <f>IF(AR50=0,BD49,SIGN(AR50))</f>
        <v/>
      </c>
      <c r="BE50" s="5">
        <f>BE49+IF(OR(AR50=0,BD49=0),0,IF(SIGN(AR50)&lt;&gt;BD49,1,0))</f>
        <v/>
      </c>
    </row>
    <row r="51">
      <c r="A51" s="5" t="n">
        <v>4</v>
      </c>
      <c r="B51" s="5">
        <f>AND(A51&gt;=1,A51&lt;=_zx5hja)</f>
        <v/>
      </c>
      <c r="C51" s="5">
        <f>IF(B51,(1-_zg5443)^(A51-1),0)</f>
        <v/>
      </c>
      <c r="D51" s="5">
        <f>_zt11ik*C51</f>
        <v/>
      </c>
      <c r="E51" s="5">
        <f>_z5gr99*C51</f>
        <v/>
      </c>
      <c r="F51" s="5">
        <f>_zk8d4f*D51+_zsw7bq*E51</f>
        <v/>
      </c>
      <c r="G51" s="5">
        <f>F51/(1+0.13)</f>
        <v/>
      </c>
      <c r="H51" s="5">
        <f>F51-G51</f>
        <v/>
      </c>
      <c r="I51" s="5">
        <f>IF(AND(B51,A51=_ztfkfy),_z67r2o*_z0m7ys,0)</f>
        <v/>
      </c>
      <c r="J51" s="5">
        <f>I51*0.13/(1+0.13)</f>
        <v/>
      </c>
      <c r="K51" s="5">
        <f>M50+J51</f>
        <v/>
      </c>
      <c r="L51" s="5">
        <f>MAX(0,H51-K51)</f>
        <v/>
      </c>
      <c r="M51" s="5">
        <f>MAX(0,K51-H51)</f>
        <v/>
      </c>
      <c r="N51" s="5">
        <f>L51*0.12</f>
        <v/>
      </c>
      <c r="O51" s="5">
        <f>S50</f>
        <v/>
      </c>
      <c r="P51" s="5">
        <f>IF(AND(B51,A51&lt;=_z2al7i),O51*_zyywx7,0)</f>
        <v/>
      </c>
      <c r="Q51" s="5">
        <f>IF(AND(B51,A51&lt;=_z2al7i),_zgsfrl,0)</f>
        <v/>
      </c>
      <c r="R51" s="5">
        <f>Q51-P51</f>
        <v/>
      </c>
      <c r="S51" s="5">
        <f>MAX(0,O51-R51)</f>
        <v/>
      </c>
      <c r="T51" s="5">
        <f>IF(AND(B51,A51&lt;=_zupe8l),_z0jo6h,0)</f>
        <v/>
      </c>
      <c r="U51" s="5">
        <f>IF((_zhsdpd="是"),IF(A51&lt;=3,0,IF(A51&lt;=6,0.5,1)),1)</f>
        <v/>
      </c>
      <c r="V51" s="5">
        <f>_zrzkf6*U51+(1-_zrzkf6)</f>
        <v/>
      </c>
      <c r="W51" s="5">
        <f>IF(B51,G51-_zkfhzg-N51-T51-I51,0)</f>
        <v/>
      </c>
      <c r="X51" s="5">
        <f>MAX(0,-W50)</f>
        <v/>
      </c>
      <c r="Y51" s="5">
        <f>MIN(X50,MAX(0,(AB50+AA50+Z50+Y50+X50)-AC50))</f>
        <v/>
      </c>
      <c r="Z51" s="5">
        <f>MIN(Y50,MAX(0,(AB50+AA50+Z50+Y50)-AC50))</f>
        <v/>
      </c>
      <c r="AA51" s="5">
        <f>MIN(Z50,MAX(0,(AB50+AA50+Z50)-AC50))</f>
        <v/>
      </c>
      <c r="AB51" s="5">
        <f>MIN(AA50,MAX(0,(AB50+AA50)-AC50))</f>
        <v/>
      </c>
      <c r="AC51" s="5">
        <f>MIN(MAX(W51,0),X51+Y51+Z51+AA51+AB51)</f>
        <v/>
      </c>
      <c r="AD51" s="5">
        <f>MAX(W51,0)-AC51</f>
        <v/>
      </c>
      <c r="AE51" s="5">
        <f>AD51*_zs8hxw*V51</f>
        <v/>
      </c>
      <c r="AF51" s="5">
        <f>IF(B51,W51-P51,0)</f>
        <v/>
      </c>
      <c r="AG51" s="5">
        <f>MAX(0,-AF50)</f>
        <v/>
      </c>
      <c r="AH51" s="5">
        <f>MIN(AG50,MAX(0,(AK50+AJ50+AI50+AH50+AG50)-AL50))</f>
        <v/>
      </c>
      <c r="AI51" s="5">
        <f>MIN(AH50,MAX(0,(AK50+AJ50+AI50+AH50)-AL50))</f>
        <v/>
      </c>
      <c r="AJ51" s="5">
        <f>MIN(AI50,MAX(0,(AK50+AJ50+AI50)-AL50))</f>
        <v/>
      </c>
      <c r="AK51" s="5">
        <f>MIN(AJ50,MAX(0,(AK50+AJ50)-AL50))</f>
        <v/>
      </c>
      <c r="AL51" s="5">
        <f>MIN(MAX(AF51,0),AG51+AH51+AI51+AJ51+AK51)</f>
        <v/>
      </c>
      <c r="AM51" s="5">
        <f>MAX(AF51,0)-AL51</f>
        <v/>
      </c>
      <c r="AN51" s="5">
        <f>AM51*_zs8hxw*V51</f>
        <v/>
      </c>
      <c r="AO51" s="5">
        <f>IF(A51=_zx5hja,_zk1wd3,0)</f>
        <v/>
      </c>
      <c r="AP51" s="5">
        <f>IF(B51,F51-_zkfhzg-L51-N51-I51+AO51,0)</f>
        <v/>
      </c>
      <c r="AQ51" s="5">
        <f>AP51-AE51</f>
        <v/>
      </c>
      <c r="AR51" s="5">
        <f>IF(B51,F51-_zkfhzg-L51-N51-I51-Q51-AN51+AO51-IF(AND(A51=_zx5hja,_z2al7i&gt;_zx5hja),S51,0),0)</f>
        <v/>
      </c>
      <c r="AS51" s="5">
        <f>AS50+AQ51</f>
        <v/>
      </c>
      <c r="AT51" s="5">
        <f>IF(AND(AS50&lt;0,AS51&gt;=0,AQ51&gt;0),1,0)</f>
        <v/>
      </c>
      <c r="AU51" s="5">
        <f>AQ51/(1+_zawtbl)^A51</f>
        <v/>
      </c>
      <c r="AV51" s="5">
        <f>AV50+AU51</f>
        <v/>
      </c>
      <c r="AW51" s="5">
        <f>IF(AND(AV50&lt;0,AV51&gt;=0,AU51&gt;0),1,0)</f>
        <v/>
      </c>
      <c r="AX51" s="5">
        <f>_zs8nv3*C51</f>
        <v/>
      </c>
      <c r="AY51" s="5">
        <f>IF(B51,_zkfhzg+I51-AO51,0)</f>
        <v/>
      </c>
      <c r="AZ51" s="5">
        <f>IF(AP51=0,AZ50,SIGN(AP51))</f>
        <v/>
      </c>
      <c r="BA51" s="5">
        <f>BA50+IF(OR(AP51=0,AZ50=0),0,IF(SIGN(AP51)&lt;&gt;AZ50,1,0))</f>
        <v/>
      </c>
      <c r="BB51" s="5">
        <f>IF(AQ51=0,BB50,SIGN(AQ51))</f>
        <v/>
      </c>
      <c r="BC51" s="5">
        <f>BC50+IF(OR(AQ51=0,BB50=0),0,IF(SIGN(AQ51)&lt;&gt;BB50,1,0))</f>
        <v/>
      </c>
      <c r="BD51" s="5">
        <f>IF(AR51=0,BD50,SIGN(AR51))</f>
        <v/>
      </c>
      <c r="BE51" s="5">
        <f>BE50+IF(OR(AR51=0,BD50=0),0,IF(SIGN(AR51)&lt;&gt;BD50,1,0))</f>
        <v/>
      </c>
    </row>
    <row r="52">
      <c r="A52" s="5" t="n">
        <v>5</v>
      </c>
      <c r="B52" s="5">
        <f>AND(A52&gt;=1,A52&lt;=_zx5hja)</f>
        <v/>
      </c>
      <c r="C52" s="5">
        <f>IF(B52,(1-_zg5443)^(A52-1),0)</f>
        <v/>
      </c>
      <c r="D52" s="5">
        <f>_zt11ik*C52</f>
        <v/>
      </c>
      <c r="E52" s="5">
        <f>_z5gr99*C52</f>
        <v/>
      </c>
      <c r="F52" s="5">
        <f>_zk8d4f*D52+_zsw7bq*E52</f>
        <v/>
      </c>
      <c r="G52" s="5">
        <f>F52/(1+0.13)</f>
        <v/>
      </c>
      <c r="H52" s="5">
        <f>F52-G52</f>
        <v/>
      </c>
      <c r="I52" s="5">
        <f>IF(AND(B52,A52=_ztfkfy),_z67r2o*_z0m7ys,0)</f>
        <v/>
      </c>
      <c r="J52" s="5">
        <f>I52*0.13/(1+0.13)</f>
        <v/>
      </c>
      <c r="K52" s="5">
        <f>M51+J52</f>
        <v/>
      </c>
      <c r="L52" s="5">
        <f>MAX(0,H52-K52)</f>
        <v/>
      </c>
      <c r="M52" s="5">
        <f>MAX(0,K52-H52)</f>
        <v/>
      </c>
      <c r="N52" s="5">
        <f>L52*0.12</f>
        <v/>
      </c>
      <c r="O52" s="5">
        <f>S51</f>
        <v/>
      </c>
      <c r="P52" s="5">
        <f>IF(AND(B52,A52&lt;=_z2al7i),O52*_zyywx7,0)</f>
        <v/>
      </c>
      <c r="Q52" s="5">
        <f>IF(AND(B52,A52&lt;=_z2al7i),_zgsfrl,0)</f>
        <v/>
      </c>
      <c r="R52" s="5">
        <f>Q52-P52</f>
        <v/>
      </c>
      <c r="S52" s="5">
        <f>MAX(0,O52-R52)</f>
        <v/>
      </c>
      <c r="T52" s="5">
        <f>IF(AND(B52,A52&lt;=_zupe8l),_z0jo6h,0)</f>
        <v/>
      </c>
      <c r="U52" s="5">
        <f>IF((_zhsdpd="是"),IF(A52&lt;=3,0,IF(A52&lt;=6,0.5,1)),1)</f>
        <v/>
      </c>
      <c r="V52" s="5">
        <f>_zrzkf6*U52+(1-_zrzkf6)</f>
        <v/>
      </c>
      <c r="W52" s="5">
        <f>IF(B52,G52-_zkfhzg-N52-T52-I52,0)</f>
        <v/>
      </c>
      <c r="X52" s="5">
        <f>MAX(0,-W51)</f>
        <v/>
      </c>
      <c r="Y52" s="5">
        <f>MIN(X51,MAX(0,(AB51+AA51+Z51+Y51+X51)-AC51))</f>
        <v/>
      </c>
      <c r="Z52" s="5">
        <f>MIN(Y51,MAX(0,(AB51+AA51+Z51+Y51)-AC51))</f>
        <v/>
      </c>
      <c r="AA52" s="5">
        <f>MIN(Z51,MAX(0,(AB51+AA51+Z51)-AC51))</f>
        <v/>
      </c>
      <c r="AB52" s="5">
        <f>MIN(AA51,MAX(0,(AB51+AA51)-AC51))</f>
        <v/>
      </c>
      <c r="AC52" s="5">
        <f>MIN(MAX(W52,0),X52+Y52+Z52+AA52+AB52)</f>
        <v/>
      </c>
      <c r="AD52" s="5">
        <f>MAX(W52,0)-AC52</f>
        <v/>
      </c>
      <c r="AE52" s="5">
        <f>AD52*_zs8hxw*V52</f>
        <v/>
      </c>
      <c r="AF52" s="5">
        <f>IF(B52,W52-P52,0)</f>
        <v/>
      </c>
      <c r="AG52" s="5">
        <f>MAX(0,-AF51)</f>
        <v/>
      </c>
      <c r="AH52" s="5">
        <f>MIN(AG51,MAX(0,(AK51+AJ51+AI51+AH51+AG51)-AL51))</f>
        <v/>
      </c>
      <c r="AI52" s="5">
        <f>MIN(AH51,MAX(0,(AK51+AJ51+AI51+AH51)-AL51))</f>
        <v/>
      </c>
      <c r="AJ52" s="5">
        <f>MIN(AI51,MAX(0,(AK51+AJ51+AI51)-AL51))</f>
        <v/>
      </c>
      <c r="AK52" s="5">
        <f>MIN(AJ51,MAX(0,(AK51+AJ51)-AL51))</f>
        <v/>
      </c>
      <c r="AL52" s="5">
        <f>MIN(MAX(AF52,0),AG52+AH52+AI52+AJ52+AK52)</f>
        <v/>
      </c>
      <c r="AM52" s="5">
        <f>MAX(AF52,0)-AL52</f>
        <v/>
      </c>
      <c r="AN52" s="5">
        <f>AM52*_zs8hxw*V52</f>
        <v/>
      </c>
      <c r="AO52" s="5">
        <f>IF(A52=_zx5hja,_zk1wd3,0)</f>
        <v/>
      </c>
      <c r="AP52" s="5">
        <f>IF(B52,F52-_zkfhzg-L52-N52-I52+AO52,0)</f>
        <v/>
      </c>
      <c r="AQ52" s="5">
        <f>AP52-AE52</f>
        <v/>
      </c>
      <c r="AR52" s="5">
        <f>IF(B52,F52-_zkfhzg-L52-N52-I52-Q52-AN52+AO52-IF(AND(A52=_zx5hja,_z2al7i&gt;_zx5hja),S52,0),0)</f>
        <v/>
      </c>
      <c r="AS52" s="5">
        <f>AS51+AQ52</f>
        <v/>
      </c>
      <c r="AT52" s="5">
        <f>IF(AND(AS51&lt;0,AS52&gt;=0,AQ52&gt;0),1,0)</f>
        <v/>
      </c>
      <c r="AU52" s="5">
        <f>AQ52/(1+_zawtbl)^A52</f>
        <v/>
      </c>
      <c r="AV52" s="5">
        <f>AV51+AU52</f>
        <v/>
      </c>
      <c r="AW52" s="5">
        <f>IF(AND(AV51&lt;0,AV52&gt;=0,AU52&gt;0),1,0)</f>
        <v/>
      </c>
      <c r="AX52" s="5">
        <f>_zs8nv3*C52</f>
        <v/>
      </c>
      <c r="AY52" s="5">
        <f>IF(B52,_zkfhzg+I52-AO52,0)</f>
        <v/>
      </c>
      <c r="AZ52" s="5">
        <f>IF(AP52=0,AZ51,SIGN(AP52))</f>
        <v/>
      </c>
      <c r="BA52" s="5">
        <f>BA51+IF(OR(AP52=0,AZ51=0),0,IF(SIGN(AP52)&lt;&gt;AZ51,1,0))</f>
        <v/>
      </c>
      <c r="BB52" s="5">
        <f>IF(AQ52=0,BB51,SIGN(AQ52))</f>
        <v/>
      </c>
      <c r="BC52" s="5">
        <f>BC51+IF(OR(AQ52=0,BB51=0),0,IF(SIGN(AQ52)&lt;&gt;BB51,1,0))</f>
        <v/>
      </c>
      <c r="BD52" s="5">
        <f>IF(AR52=0,BD51,SIGN(AR52))</f>
        <v/>
      </c>
      <c r="BE52" s="5">
        <f>BE51+IF(OR(AR52=0,BD51=0),0,IF(SIGN(AR52)&lt;&gt;BD51,1,0))</f>
        <v/>
      </c>
    </row>
    <row r="53">
      <c r="A53" s="5" t="n">
        <v>6</v>
      </c>
      <c r="B53" s="5">
        <f>AND(A53&gt;=1,A53&lt;=_zx5hja)</f>
        <v/>
      </c>
      <c r="C53" s="5">
        <f>IF(B53,(1-_zg5443)^(A53-1),0)</f>
        <v/>
      </c>
      <c r="D53" s="5">
        <f>_zt11ik*C53</f>
        <v/>
      </c>
      <c r="E53" s="5">
        <f>_z5gr99*C53</f>
        <v/>
      </c>
      <c r="F53" s="5">
        <f>_zk8d4f*D53+_zsw7bq*E53</f>
        <v/>
      </c>
      <c r="G53" s="5">
        <f>F53/(1+0.13)</f>
        <v/>
      </c>
      <c r="H53" s="5">
        <f>F53-G53</f>
        <v/>
      </c>
      <c r="I53" s="5">
        <f>IF(AND(B53,A53=_ztfkfy),_z67r2o*_z0m7ys,0)</f>
        <v/>
      </c>
      <c r="J53" s="5">
        <f>I53*0.13/(1+0.13)</f>
        <v/>
      </c>
      <c r="K53" s="5">
        <f>M52+J53</f>
        <v/>
      </c>
      <c r="L53" s="5">
        <f>MAX(0,H53-K53)</f>
        <v/>
      </c>
      <c r="M53" s="5">
        <f>MAX(0,K53-H53)</f>
        <v/>
      </c>
      <c r="N53" s="5">
        <f>L53*0.12</f>
        <v/>
      </c>
      <c r="O53" s="5">
        <f>S52</f>
        <v/>
      </c>
      <c r="P53" s="5">
        <f>IF(AND(B53,A53&lt;=_z2al7i),O53*_zyywx7,0)</f>
        <v/>
      </c>
      <c r="Q53" s="5">
        <f>IF(AND(B53,A53&lt;=_z2al7i),_zgsfrl,0)</f>
        <v/>
      </c>
      <c r="R53" s="5">
        <f>Q53-P53</f>
        <v/>
      </c>
      <c r="S53" s="5">
        <f>MAX(0,O53-R53)</f>
        <v/>
      </c>
      <c r="T53" s="5">
        <f>IF(AND(B53,A53&lt;=_zupe8l),_z0jo6h,0)</f>
        <v/>
      </c>
      <c r="U53" s="5">
        <f>IF((_zhsdpd="是"),IF(A53&lt;=3,0,IF(A53&lt;=6,0.5,1)),1)</f>
        <v/>
      </c>
      <c r="V53" s="5">
        <f>_zrzkf6*U53+(1-_zrzkf6)</f>
        <v/>
      </c>
      <c r="W53" s="5">
        <f>IF(B53,G53-_zkfhzg-N53-T53-I53,0)</f>
        <v/>
      </c>
      <c r="X53" s="5">
        <f>MAX(0,-W52)</f>
        <v/>
      </c>
      <c r="Y53" s="5">
        <f>MIN(X52,MAX(0,(AB52+AA52+Z52+Y52+X52)-AC52))</f>
        <v/>
      </c>
      <c r="Z53" s="5">
        <f>MIN(Y52,MAX(0,(AB52+AA52+Z52+Y52)-AC52))</f>
        <v/>
      </c>
      <c r="AA53" s="5">
        <f>MIN(Z52,MAX(0,(AB52+AA52+Z52)-AC52))</f>
        <v/>
      </c>
      <c r="AB53" s="5">
        <f>MIN(AA52,MAX(0,(AB52+AA52)-AC52))</f>
        <v/>
      </c>
      <c r="AC53" s="5">
        <f>MIN(MAX(W53,0),X53+Y53+Z53+AA53+AB53)</f>
        <v/>
      </c>
      <c r="AD53" s="5">
        <f>MAX(W53,0)-AC53</f>
        <v/>
      </c>
      <c r="AE53" s="5">
        <f>AD53*_zs8hxw*V53</f>
        <v/>
      </c>
      <c r="AF53" s="5">
        <f>IF(B53,W53-P53,0)</f>
        <v/>
      </c>
      <c r="AG53" s="5">
        <f>MAX(0,-AF52)</f>
        <v/>
      </c>
      <c r="AH53" s="5">
        <f>MIN(AG52,MAX(0,(AK52+AJ52+AI52+AH52+AG52)-AL52))</f>
        <v/>
      </c>
      <c r="AI53" s="5">
        <f>MIN(AH52,MAX(0,(AK52+AJ52+AI52+AH52)-AL52))</f>
        <v/>
      </c>
      <c r="AJ53" s="5">
        <f>MIN(AI52,MAX(0,(AK52+AJ52+AI52)-AL52))</f>
        <v/>
      </c>
      <c r="AK53" s="5">
        <f>MIN(AJ52,MAX(0,(AK52+AJ52)-AL52))</f>
        <v/>
      </c>
      <c r="AL53" s="5">
        <f>MIN(MAX(AF53,0),AG53+AH53+AI53+AJ53+AK53)</f>
        <v/>
      </c>
      <c r="AM53" s="5">
        <f>MAX(AF53,0)-AL53</f>
        <v/>
      </c>
      <c r="AN53" s="5">
        <f>AM53*_zs8hxw*V53</f>
        <v/>
      </c>
      <c r="AO53" s="5">
        <f>IF(A53=_zx5hja,_zk1wd3,0)</f>
        <v/>
      </c>
      <c r="AP53" s="5">
        <f>IF(B53,F53-_zkfhzg-L53-N53-I53+AO53,0)</f>
        <v/>
      </c>
      <c r="AQ53" s="5">
        <f>AP53-AE53</f>
        <v/>
      </c>
      <c r="AR53" s="5">
        <f>IF(B53,F53-_zkfhzg-L53-N53-I53-Q53-AN53+AO53-IF(AND(A53=_zx5hja,_z2al7i&gt;_zx5hja),S53,0),0)</f>
        <v/>
      </c>
      <c r="AS53" s="5">
        <f>AS52+AQ53</f>
        <v/>
      </c>
      <c r="AT53" s="5">
        <f>IF(AND(AS52&lt;0,AS53&gt;=0,AQ53&gt;0),1,0)</f>
        <v/>
      </c>
      <c r="AU53" s="5">
        <f>AQ53/(1+_zawtbl)^A53</f>
        <v/>
      </c>
      <c r="AV53" s="5">
        <f>AV52+AU53</f>
        <v/>
      </c>
      <c r="AW53" s="5">
        <f>IF(AND(AV52&lt;0,AV53&gt;=0,AU53&gt;0),1,0)</f>
        <v/>
      </c>
      <c r="AX53" s="5">
        <f>_zs8nv3*C53</f>
        <v/>
      </c>
      <c r="AY53" s="5">
        <f>IF(B53,_zkfhzg+I53-AO53,0)</f>
        <v/>
      </c>
      <c r="AZ53" s="5">
        <f>IF(AP53=0,AZ52,SIGN(AP53))</f>
        <v/>
      </c>
      <c r="BA53" s="5">
        <f>BA52+IF(OR(AP53=0,AZ52=0),0,IF(SIGN(AP53)&lt;&gt;AZ52,1,0))</f>
        <v/>
      </c>
      <c r="BB53" s="5">
        <f>IF(AQ53=0,BB52,SIGN(AQ53))</f>
        <v/>
      </c>
      <c r="BC53" s="5">
        <f>BC52+IF(OR(AQ53=0,BB52=0),0,IF(SIGN(AQ53)&lt;&gt;BB52,1,0))</f>
        <v/>
      </c>
      <c r="BD53" s="5">
        <f>IF(AR53=0,BD52,SIGN(AR53))</f>
        <v/>
      </c>
      <c r="BE53" s="5">
        <f>BE52+IF(OR(AR53=0,BD52=0),0,IF(SIGN(AR53)&lt;&gt;BD52,1,0))</f>
        <v/>
      </c>
    </row>
    <row r="54">
      <c r="A54" s="5" t="n">
        <v>7</v>
      </c>
      <c r="B54" s="5">
        <f>AND(A54&gt;=1,A54&lt;=_zx5hja)</f>
        <v/>
      </c>
      <c r="C54" s="5">
        <f>IF(B54,(1-_zg5443)^(A54-1),0)</f>
        <v/>
      </c>
      <c r="D54" s="5">
        <f>_zt11ik*C54</f>
        <v/>
      </c>
      <c r="E54" s="5">
        <f>_z5gr99*C54</f>
        <v/>
      </c>
      <c r="F54" s="5">
        <f>_zk8d4f*D54+_zsw7bq*E54</f>
        <v/>
      </c>
      <c r="G54" s="5">
        <f>F54/(1+0.13)</f>
        <v/>
      </c>
      <c r="H54" s="5">
        <f>F54-G54</f>
        <v/>
      </c>
      <c r="I54" s="5">
        <f>IF(AND(B54,A54=_ztfkfy),_z67r2o*_z0m7ys,0)</f>
        <v/>
      </c>
      <c r="J54" s="5">
        <f>I54*0.13/(1+0.13)</f>
        <v/>
      </c>
      <c r="K54" s="5">
        <f>M53+J54</f>
        <v/>
      </c>
      <c r="L54" s="5">
        <f>MAX(0,H54-K54)</f>
        <v/>
      </c>
      <c r="M54" s="5">
        <f>MAX(0,K54-H54)</f>
        <v/>
      </c>
      <c r="N54" s="5">
        <f>L54*0.12</f>
        <v/>
      </c>
      <c r="O54" s="5">
        <f>S53</f>
        <v/>
      </c>
      <c r="P54" s="5">
        <f>IF(AND(B54,A54&lt;=_z2al7i),O54*_zyywx7,0)</f>
        <v/>
      </c>
      <c r="Q54" s="5">
        <f>IF(AND(B54,A54&lt;=_z2al7i),_zgsfrl,0)</f>
        <v/>
      </c>
      <c r="R54" s="5">
        <f>Q54-P54</f>
        <v/>
      </c>
      <c r="S54" s="5">
        <f>MAX(0,O54-R54)</f>
        <v/>
      </c>
      <c r="T54" s="5">
        <f>IF(AND(B54,A54&lt;=_zupe8l),_z0jo6h,0)</f>
        <v/>
      </c>
      <c r="U54" s="5">
        <f>IF((_zhsdpd="是"),IF(A54&lt;=3,0,IF(A54&lt;=6,0.5,1)),1)</f>
        <v/>
      </c>
      <c r="V54" s="5">
        <f>_zrzkf6*U54+(1-_zrzkf6)</f>
        <v/>
      </c>
      <c r="W54" s="5">
        <f>IF(B54,G54-_zkfhzg-N54-T54-I54,0)</f>
        <v/>
      </c>
      <c r="X54" s="5">
        <f>MAX(0,-W53)</f>
        <v/>
      </c>
      <c r="Y54" s="5">
        <f>MIN(X53,MAX(0,(AB53+AA53+Z53+Y53+X53)-AC53))</f>
        <v/>
      </c>
      <c r="Z54" s="5">
        <f>MIN(Y53,MAX(0,(AB53+AA53+Z53+Y53)-AC53))</f>
        <v/>
      </c>
      <c r="AA54" s="5">
        <f>MIN(Z53,MAX(0,(AB53+AA53+Z53)-AC53))</f>
        <v/>
      </c>
      <c r="AB54" s="5">
        <f>MIN(AA53,MAX(0,(AB53+AA53)-AC53))</f>
        <v/>
      </c>
      <c r="AC54" s="5">
        <f>MIN(MAX(W54,0),X54+Y54+Z54+AA54+AB54)</f>
        <v/>
      </c>
      <c r="AD54" s="5">
        <f>MAX(W54,0)-AC54</f>
        <v/>
      </c>
      <c r="AE54" s="5">
        <f>AD54*_zs8hxw*V54</f>
        <v/>
      </c>
      <c r="AF54" s="5">
        <f>IF(B54,W54-P54,0)</f>
        <v/>
      </c>
      <c r="AG54" s="5">
        <f>MAX(0,-AF53)</f>
        <v/>
      </c>
      <c r="AH54" s="5">
        <f>MIN(AG53,MAX(0,(AK53+AJ53+AI53+AH53+AG53)-AL53))</f>
        <v/>
      </c>
      <c r="AI54" s="5">
        <f>MIN(AH53,MAX(0,(AK53+AJ53+AI53+AH53)-AL53))</f>
        <v/>
      </c>
      <c r="AJ54" s="5">
        <f>MIN(AI53,MAX(0,(AK53+AJ53+AI53)-AL53))</f>
        <v/>
      </c>
      <c r="AK54" s="5">
        <f>MIN(AJ53,MAX(0,(AK53+AJ53)-AL53))</f>
        <v/>
      </c>
      <c r="AL54" s="5">
        <f>MIN(MAX(AF54,0),AG54+AH54+AI54+AJ54+AK54)</f>
        <v/>
      </c>
      <c r="AM54" s="5">
        <f>MAX(AF54,0)-AL54</f>
        <v/>
      </c>
      <c r="AN54" s="5">
        <f>AM54*_zs8hxw*V54</f>
        <v/>
      </c>
      <c r="AO54" s="5">
        <f>IF(A54=_zx5hja,_zk1wd3,0)</f>
        <v/>
      </c>
      <c r="AP54" s="5">
        <f>IF(B54,F54-_zkfhzg-L54-N54-I54+AO54,0)</f>
        <v/>
      </c>
      <c r="AQ54" s="5">
        <f>AP54-AE54</f>
        <v/>
      </c>
      <c r="AR54" s="5">
        <f>IF(B54,F54-_zkfhzg-L54-N54-I54-Q54-AN54+AO54-IF(AND(A54=_zx5hja,_z2al7i&gt;_zx5hja),S54,0),0)</f>
        <v/>
      </c>
      <c r="AS54" s="5">
        <f>AS53+AQ54</f>
        <v/>
      </c>
      <c r="AT54" s="5">
        <f>IF(AND(AS53&lt;0,AS54&gt;=0,AQ54&gt;0),1,0)</f>
        <v/>
      </c>
      <c r="AU54" s="5">
        <f>AQ54/(1+_zawtbl)^A54</f>
        <v/>
      </c>
      <c r="AV54" s="5">
        <f>AV53+AU54</f>
        <v/>
      </c>
      <c r="AW54" s="5">
        <f>IF(AND(AV53&lt;0,AV54&gt;=0,AU54&gt;0),1,0)</f>
        <v/>
      </c>
      <c r="AX54" s="5">
        <f>_zs8nv3*C54</f>
        <v/>
      </c>
      <c r="AY54" s="5">
        <f>IF(B54,_zkfhzg+I54-AO54,0)</f>
        <v/>
      </c>
      <c r="AZ54" s="5">
        <f>IF(AP54=0,AZ53,SIGN(AP54))</f>
        <v/>
      </c>
      <c r="BA54" s="5">
        <f>BA53+IF(OR(AP54=0,AZ53=0),0,IF(SIGN(AP54)&lt;&gt;AZ53,1,0))</f>
        <v/>
      </c>
      <c r="BB54" s="5">
        <f>IF(AQ54=0,BB53,SIGN(AQ54))</f>
        <v/>
      </c>
      <c r="BC54" s="5">
        <f>BC53+IF(OR(AQ54=0,BB53=0),0,IF(SIGN(AQ54)&lt;&gt;BB53,1,0))</f>
        <v/>
      </c>
      <c r="BD54" s="5">
        <f>IF(AR54=0,BD53,SIGN(AR54))</f>
        <v/>
      </c>
      <c r="BE54" s="5">
        <f>BE53+IF(OR(AR54=0,BD53=0),0,IF(SIGN(AR54)&lt;&gt;BD53,1,0))</f>
        <v/>
      </c>
    </row>
    <row r="55">
      <c r="A55" s="5" t="n">
        <v>8</v>
      </c>
      <c r="B55" s="5">
        <f>AND(A55&gt;=1,A55&lt;=_zx5hja)</f>
        <v/>
      </c>
      <c r="C55" s="5">
        <f>IF(B55,(1-_zg5443)^(A55-1),0)</f>
        <v/>
      </c>
      <c r="D55" s="5">
        <f>_zt11ik*C55</f>
        <v/>
      </c>
      <c r="E55" s="5">
        <f>_z5gr99*C55</f>
        <v/>
      </c>
      <c r="F55" s="5">
        <f>_zk8d4f*D55+_zsw7bq*E55</f>
        <v/>
      </c>
      <c r="G55" s="5">
        <f>F55/(1+0.13)</f>
        <v/>
      </c>
      <c r="H55" s="5">
        <f>F55-G55</f>
        <v/>
      </c>
      <c r="I55" s="5">
        <f>IF(AND(B55,A55=_ztfkfy),_z67r2o*_z0m7ys,0)</f>
        <v/>
      </c>
      <c r="J55" s="5">
        <f>I55*0.13/(1+0.13)</f>
        <v/>
      </c>
      <c r="K55" s="5">
        <f>M54+J55</f>
        <v/>
      </c>
      <c r="L55" s="5">
        <f>MAX(0,H55-K55)</f>
        <v/>
      </c>
      <c r="M55" s="5">
        <f>MAX(0,K55-H55)</f>
        <v/>
      </c>
      <c r="N55" s="5">
        <f>L55*0.12</f>
        <v/>
      </c>
      <c r="O55" s="5">
        <f>S54</f>
        <v/>
      </c>
      <c r="P55" s="5">
        <f>IF(AND(B55,A55&lt;=_z2al7i),O55*_zyywx7,0)</f>
        <v/>
      </c>
      <c r="Q55" s="5">
        <f>IF(AND(B55,A55&lt;=_z2al7i),_zgsfrl,0)</f>
        <v/>
      </c>
      <c r="R55" s="5">
        <f>Q55-P55</f>
        <v/>
      </c>
      <c r="S55" s="5">
        <f>MAX(0,O55-R55)</f>
        <v/>
      </c>
      <c r="T55" s="5">
        <f>IF(AND(B55,A55&lt;=_zupe8l),_z0jo6h,0)</f>
        <v/>
      </c>
      <c r="U55" s="5">
        <f>IF((_zhsdpd="是"),IF(A55&lt;=3,0,IF(A55&lt;=6,0.5,1)),1)</f>
        <v/>
      </c>
      <c r="V55" s="5">
        <f>_zrzkf6*U55+(1-_zrzkf6)</f>
        <v/>
      </c>
      <c r="W55" s="5">
        <f>IF(B55,G55-_zkfhzg-N55-T55-I55,0)</f>
        <v/>
      </c>
      <c r="X55" s="5">
        <f>MAX(0,-W54)</f>
        <v/>
      </c>
      <c r="Y55" s="5">
        <f>MIN(X54,MAX(0,(AB54+AA54+Z54+Y54+X54)-AC54))</f>
        <v/>
      </c>
      <c r="Z55" s="5">
        <f>MIN(Y54,MAX(0,(AB54+AA54+Z54+Y54)-AC54))</f>
        <v/>
      </c>
      <c r="AA55" s="5">
        <f>MIN(Z54,MAX(0,(AB54+AA54+Z54)-AC54))</f>
        <v/>
      </c>
      <c r="AB55" s="5">
        <f>MIN(AA54,MAX(0,(AB54+AA54)-AC54))</f>
        <v/>
      </c>
      <c r="AC55" s="5">
        <f>MIN(MAX(W55,0),X55+Y55+Z55+AA55+AB55)</f>
        <v/>
      </c>
      <c r="AD55" s="5">
        <f>MAX(W55,0)-AC55</f>
        <v/>
      </c>
      <c r="AE55" s="5">
        <f>AD55*_zs8hxw*V55</f>
        <v/>
      </c>
      <c r="AF55" s="5">
        <f>IF(B55,W55-P55,0)</f>
        <v/>
      </c>
      <c r="AG55" s="5">
        <f>MAX(0,-AF54)</f>
        <v/>
      </c>
      <c r="AH55" s="5">
        <f>MIN(AG54,MAX(0,(AK54+AJ54+AI54+AH54+AG54)-AL54))</f>
        <v/>
      </c>
      <c r="AI55" s="5">
        <f>MIN(AH54,MAX(0,(AK54+AJ54+AI54+AH54)-AL54))</f>
        <v/>
      </c>
      <c r="AJ55" s="5">
        <f>MIN(AI54,MAX(0,(AK54+AJ54+AI54)-AL54))</f>
        <v/>
      </c>
      <c r="AK55" s="5">
        <f>MIN(AJ54,MAX(0,(AK54+AJ54)-AL54))</f>
        <v/>
      </c>
      <c r="AL55" s="5">
        <f>MIN(MAX(AF55,0),AG55+AH55+AI55+AJ55+AK55)</f>
        <v/>
      </c>
      <c r="AM55" s="5">
        <f>MAX(AF55,0)-AL55</f>
        <v/>
      </c>
      <c r="AN55" s="5">
        <f>AM55*_zs8hxw*V55</f>
        <v/>
      </c>
      <c r="AO55" s="5">
        <f>IF(A55=_zx5hja,_zk1wd3,0)</f>
        <v/>
      </c>
      <c r="AP55" s="5">
        <f>IF(B55,F55-_zkfhzg-L55-N55-I55+AO55,0)</f>
        <v/>
      </c>
      <c r="AQ55" s="5">
        <f>AP55-AE55</f>
        <v/>
      </c>
      <c r="AR55" s="5">
        <f>IF(B55,F55-_zkfhzg-L55-N55-I55-Q55-AN55+AO55-IF(AND(A55=_zx5hja,_z2al7i&gt;_zx5hja),S55,0),0)</f>
        <v/>
      </c>
      <c r="AS55" s="5">
        <f>AS54+AQ55</f>
        <v/>
      </c>
      <c r="AT55" s="5">
        <f>IF(AND(AS54&lt;0,AS55&gt;=0,AQ55&gt;0),1,0)</f>
        <v/>
      </c>
      <c r="AU55" s="5">
        <f>AQ55/(1+_zawtbl)^A55</f>
        <v/>
      </c>
      <c r="AV55" s="5">
        <f>AV54+AU55</f>
        <v/>
      </c>
      <c r="AW55" s="5">
        <f>IF(AND(AV54&lt;0,AV55&gt;=0,AU55&gt;0),1,0)</f>
        <v/>
      </c>
      <c r="AX55" s="5">
        <f>_zs8nv3*C55</f>
        <v/>
      </c>
      <c r="AY55" s="5">
        <f>IF(B55,_zkfhzg+I55-AO55,0)</f>
        <v/>
      </c>
      <c r="AZ55" s="5">
        <f>IF(AP55=0,AZ54,SIGN(AP55))</f>
        <v/>
      </c>
      <c r="BA55" s="5">
        <f>BA54+IF(OR(AP55=0,AZ54=0),0,IF(SIGN(AP55)&lt;&gt;AZ54,1,0))</f>
        <v/>
      </c>
      <c r="BB55" s="5">
        <f>IF(AQ55=0,BB54,SIGN(AQ55))</f>
        <v/>
      </c>
      <c r="BC55" s="5">
        <f>BC54+IF(OR(AQ55=0,BB54=0),0,IF(SIGN(AQ55)&lt;&gt;BB54,1,0))</f>
        <v/>
      </c>
      <c r="BD55" s="5">
        <f>IF(AR55=0,BD54,SIGN(AR55))</f>
        <v/>
      </c>
      <c r="BE55" s="5">
        <f>BE54+IF(OR(AR55=0,BD54=0),0,IF(SIGN(AR55)&lt;&gt;BD54,1,0))</f>
        <v/>
      </c>
    </row>
    <row r="56">
      <c r="A56" s="5" t="n">
        <v>9</v>
      </c>
      <c r="B56" s="5">
        <f>AND(A56&gt;=1,A56&lt;=_zx5hja)</f>
        <v/>
      </c>
      <c r="C56" s="5">
        <f>IF(B56,(1-_zg5443)^(A56-1),0)</f>
        <v/>
      </c>
      <c r="D56" s="5">
        <f>_zt11ik*C56</f>
        <v/>
      </c>
      <c r="E56" s="5">
        <f>_z5gr99*C56</f>
        <v/>
      </c>
      <c r="F56" s="5">
        <f>_zk8d4f*D56+_zsw7bq*E56</f>
        <v/>
      </c>
      <c r="G56" s="5">
        <f>F56/(1+0.13)</f>
        <v/>
      </c>
      <c r="H56" s="5">
        <f>F56-G56</f>
        <v/>
      </c>
      <c r="I56" s="5">
        <f>IF(AND(B56,A56=_ztfkfy),_z67r2o*_z0m7ys,0)</f>
        <v/>
      </c>
      <c r="J56" s="5">
        <f>I56*0.13/(1+0.13)</f>
        <v/>
      </c>
      <c r="K56" s="5">
        <f>M55+J56</f>
        <v/>
      </c>
      <c r="L56" s="5">
        <f>MAX(0,H56-K56)</f>
        <v/>
      </c>
      <c r="M56" s="5">
        <f>MAX(0,K56-H56)</f>
        <v/>
      </c>
      <c r="N56" s="5">
        <f>L56*0.12</f>
        <v/>
      </c>
      <c r="O56" s="5">
        <f>S55</f>
        <v/>
      </c>
      <c r="P56" s="5">
        <f>IF(AND(B56,A56&lt;=_z2al7i),O56*_zyywx7,0)</f>
        <v/>
      </c>
      <c r="Q56" s="5">
        <f>IF(AND(B56,A56&lt;=_z2al7i),_zgsfrl,0)</f>
        <v/>
      </c>
      <c r="R56" s="5">
        <f>Q56-P56</f>
        <v/>
      </c>
      <c r="S56" s="5">
        <f>MAX(0,O56-R56)</f>
        <v/>
      </c>
      <c r="T56" s="5">
        <f>IF(AND(B56,A56&lt;=_zupe8l),_z0jo6h,0)</f>
        <v/>
      </c>
      <c r="U56" s="5">
        <f>IF((_zhsdpd="是"),IF(A56&lt;=3,0,IF(A56&lt;=6,0.5,1)),1)</f>
        <v/>
      </c>
      <c r="V56" s="5">
        <f>_zrzkf6*U56+(1-_zrzkf6)</f>
        <v/>
      </c>
      <c r="W56" s="5">
        <f>IF(B56,G56-_zkfhzg-N56-T56-I56,0)</f>
        <v/>
      </c>
      <c r="X56" s="5">
        <f>MAX(0,-W55)</f>
        <v/>
      </c>
      <c r="Y56" s="5">
        <f>MIN(X55,MAX(0,(AB55+AA55+Z55+Y55+X55)-AC55))</f>
        <v/>
      </c>
      <c r="Z56" s="5">
        <f>MIN(Y55,MAX(0,(AB55+AA55+Z55+Y55)-AC55))</f>
        <v/>
      </c>
      <c r="AA56" s="5">
        <f>MIN(Z55,MAX(0,(AB55+AA55+Z55)-AC55))</f>
        <v/>
      </c>
      <c r="AB56" s="5">
        <f>MIN(AA55,MAX(0,(AB55+AA55)-AC55))</f>
        <v/>
      </c>
      <c r="AC56" s="5">
        <f>MIN(MAX(W56,0),X56+Y56+Z56+AA56+AB56)</f>
        <v/>
      </c>
      <c r="AD56" s="5">
        <f>MAX(W56,0)-AC56</f>
        <v/>
      </c>
      <c r="AE56" s="5">
        <f>AD56*_zs8hxw*V56</f>
        <v/>
      </c>
      <c r="AF56" s="5">
        <f>IF(B56,W56-P56,0)</f>
        <v/>
      </c>
      <c r="AG56" s="5">
        <f>MAX(0,-AF55)</f>
        <v/>
      </c>
      <c r="AH56" s="5">
        <f>MIN(AG55,MAX(0,(AK55+AJ55+AI55+AH55+AG55)-AL55))</f>
        <v/>
      </c>
      <c r="AI56" s="5">
        <f>MIN(AH55,MAX(0,(AK55+AJ55+AI55+AH55)-AL55))</f>
        <v/>
      </c>
      <c r="AJ56" s="5">
        <f>MIN(AI55,MAX(0,(AK55+AJ55+AI55)-AL55))</f>
        <v/>
      </c>
      <c r="AK56" s="5">
        <f>MIN(AJ55,MAX(0,(AK55+AJ55)-AL55))</f>
        <v/>
      </c>
      <c r="AL56" s="5">
        <f>MIN(MAX(AF56,0),AG56+AH56+AI56+AJ56+AK56)</f>
        <v/>
      </c>
      <c r="AM56" s="5">
        <f>MAX(AF56,0)-AL56</f>
        <v/>
      </c>
      <c r="AN56" s="5">
        <f>AM56*_zs8hxw*V56</f>
        <v/>
      </c>
      <c r="AO56" s="5">
        <f>IF(A56=_zx5hja,_zk1wd3,0)</f>
        <v/>
      </c>
      <c r="AP56" s="5">
        <f>IF(B56,F56-_zkfhzg-L56-N56-I56+AO56,0)</f>
        <v/>
      </c>
      <c r="AQ56" s="5">
        <f>AP56-AE56</f>
        <v/>
      </c>
      <c r="AR56" s="5">
        <f>IF(B56,F56-_zkfhzg-L56-N56-I56-Q56-AN56+AO56-IF(AND(A56=_zx5hja,_z2al7i&gt;_zx5hja),S56,0),0)</f>
        <v/>
      </c>
      <c r="AS56" s="5">
        <f>AS55+AQ56</f>
        <v/>
      </c>
      <c r="AT56" s="5">
        <f>IF(AND(AS55&lt;0,AS56&gt;=0,AQ56&gt;0),1,0)</f>
        <v/>
      </c>
      <c r="AU56" s="5">
        <f>AQ56/(1+_zawtbl)^A56</f>
        <v/>
      </c>
      <c r="AV56" s="5">
        <f>AV55+AU56</f>
        <v/>
      </c>
      <c r="AW56" s="5">
        <f>IF(AND(AV55&lt;0,AV56&gt;=0,AU56&gt;0),1,0)</f>
        <v/>
      </c>
      <c r="AX56" s="5">
        <f>_zs8nv3*C56</f>
        <v/>
      </c>
      <c r="AY56" s="5">
        <f>IF(B56,_zkfhzg+I56-AO56,0)</f>
        <v/>
      </c>
      <c r="AZ56" s="5">
        <f>IF(AP56=0,AZ55,SIGN(AP56))</f>
        <v/>
      </c>
      <c r="BA56" s="5">
        <f>BA55+IF(OR(AP56=0,AZ55=0),0,IF(SIGN(AP56)&lt;&gt;AZ55,1,0))</f>
        <v/>
      </c>
      <c r="BB56" s="5">
        <f>IF(AQ56=0,BB55,SIGN(AQ56))</f>
        <v/>
      </c>
      <c r="BC56" s="5">
        <f>BC55+IF(OR(AQ56=0,BB55=0),0,IF(SIGN(AQ56)&lt;&gt;BB55,1,0))</f>
        <v/>
      </c>
      <c r="BD56" s="5">
        <f>IF(AR56=0,BD55,SIGN(AR56))</f>
        <v/>
      </c>
      <c r="BE56" s="5">
        <f>BE55+IF(OR(AR56=0,BD55=0),0,IF(SIGN(AR56)&lt;&gt;BD55,1,0))</f>
        <v/>
      </c>
    </row>
    <row r="57">
      <c r="A57" s="5" t="n">
        <v>10</v>
      </c>
      <c r="B57" s="5">
        <f>AND(A57&gt;=1,A57&lt;=_zx5hja)</f>
        <v/>
      </c>
      <c r="C57" s="5">
        <f>IF(B57,(1-_zg5443)^(A57-1),0)</f>
        <v/>
      </c>
      <c r="D57" s="5">
        <f>_zt11ik*C57</f>
        <v/>
      </c>
      <c r="E57" s="5">
        <f>_z5gr99*C57</f>
        <v/>
      </c>
      <c r="F57" s="5">
        <f>_zk8d4f*D57+_zsw7bq*E57</f>
        <v/>
      </c>
      <c r="G57" s="5">
        <f>F57/(1+0.13)</f>
        <v/>
      </c>
      <c r="H57" s="5">
        <f>F57-G57</f>
        <v/>
      </c>
      <c r="I57" s="5">
        <f>IF(AND(B57,A57=_ztfkfy),_z67r2o*_z0m7ys,0)</f>
        <v/>
      </c>
      <c r="J57" s="5">
        <f>I57*0.13/(1+0.13)</f>
        <v/>
      </c>
      <c r="K57" s="5">
        <f>M56+J57</f>
        <v/>
      </c>
      <c r="L57" s="5">
        <f>MAX(0,H57-K57)</f>
        <v/>
      </c>
      <c r="M57" s="5">
        <f>MAX(0,K57-H57)</f>
        <v/>
      </c>
      <c r="N57" s="5">
        <f>L57*0.12</f>
        <v/>
      </c>
      <c r="O57" s="5">
        <f>S56</f>
        <v/>
      </c>
      <c r="P57" s="5">
        <f>IF(AND(B57,A57&lt;=_z2al7i),O57*_zyywx7,0)</f>
        <v/>
      </c>
      <c r="Q57" s="5">
        <f>IF(AND(B57,A57&lt;=_z2al7i),_zgsfrl,0)</f>
        <v/>
      </c>
      <c r="R57" s="5">
        <f>Q57-P57</f>
        <v/>
      </c>
      <c r="S57" s="5">
        <f>MAX(0,O57-R57)</f>
        <v/>
      </c>
      <c r="T57" s="5">
        <f>IF(AND(B57,A57&lt;=_zupe8l),_z0jo6h,0)</f>
        <v/>
      </c>
      <c r="U57" s="5">
        <f>IF((_zhsdpd="是"),IF(A57&lt;=3,0,IF(A57&lt;=6,0.5,1)),1)</f>
        <v/>
      </c>
      <c r="V57" s="5">
        <f>_zrzkf6*U57+(1-_zrzkf6)</f>
        <v/>
      </c>
      <c r="W57" s="5">
        <f>IF(B57,G57-_zkfhzg-N57-T57-I57,0)</f>
        <v/>
      </c>
      <c r="X57" s="5">
        <f>MAX(0,-W56)</f>
        <v/>
      </c>
      <c r="Y57" s="5">
        <f>MIN(X56,MAX(0,(AB56+AA56+Z56+Y56+X56)-AC56))</f>
        <v/>
      </c>
      <c r="Z57" s="5">
        <f>MIN(Y56,MAX(0,(AB56+AA56+Z56+Y56)-AC56))</f>
        <v/>
      </c>
      <c r="AA57" s="5">
        <f>MIN(Z56,MAX(0,(AB56+AA56+Z56)-AC56))</f>
        <v/>
      </c>
      <c r="AB57" s="5">
        <f>MIN(AA56,MAX(0,(AB56+AA56)-AC56))</f>
        <v/>
      </c>
      <c r="AC57" s="5">
        <f>MIN(MAX(W57,0),X57+Y57+Z57+AA57+AB57)</f>
        <v/>
      </c>
      <c r="AD57" s="5">
        <f>MAX(W57,0)-AC57</f>
        <v/>
      </c>
      <c r="AE57" s="5">
        <f>AD57*_zs8hxw*V57</f>
        <v/>
      </c>
      <c r="AF57" s="5">
        <f>IF(B57,W57-P57,0)</f>
        <v/>
      </c>
      <c r="AG57" s="5">
        <f>MAX(0,-AF56)</f>
        <v/>
      </c>
      <c r="AH57" s="5">
        <f>MIN(AG56,MAX(0,(AK56+AJ56+AI56+AH56+AG56)-AL56))</f>
        <v/>
      </c>
      <c r="AI57" s="5">
        <f>MIN(AH56,MAX(0,(AK56+AJ56+AI56+AH56)-AL56))</f>
        <v/>
      </c>
      <c r="AJ57" s="5">
        <f>MIN(AI56,MAX(0,(AK56+AJ56+AI56)-AL56))</f>
        <v/>
      </c>
      <c r="AK57" s="5">
        <f>MIN(AJ56,MAX(0,(AK56+AJ56)-AL56))</f>
        <v/>
      </c>
      <c r="AL57" s="5">
        <f>MIN(MAX(AF57,0),AG57+AH57+AI57+AJ57+AK57)</f>
        <v/>
      </c>
      <c r="AM57" s="5">
        <f>MAX(AF57,0)-AL57</f>
        <v/>
      </c>
      <c r="AN57" s="5">
        <f>AM57*_zs8hxw*V57</f>
        <v/>
      </c>
      <c r="AO57" s="5">
        <f>IF(A57=_zx5hja,_zk1wd3,0)</f>
        <v/>
      </c>
      <c r="AP57" s="5">
        <f>IF(B57,F57-_zkfhzg-L57-N57-I57+AO57,0)</f>
        <v/>
      </c>
      <c r="AQ57" s="5">
        <f>AP57-AE57</f>
        <v/>
      </c>
      <c r="AR57" s="5">
        <f>IF(B57,F57-_zkfhzg-L57-N57-I57-Q57-AN57+AO57-IF(AND(A57=_zx5hja,_z2al7i&gt;_zx5hja),S57,0),0)</f>
        <v/>
      </c>
      <c r="AS57" s="5">
        <f>AS56+AQ57</f>
        <v/>
      </c>
      <c r="AT57" s="5">
        <f>IF(AND(AS56&lt;0,AS57&gt;=0,AQ57&gt;0),1,0)</f>
        <v/>
      </c>
      <c r="AU57" s="5">
        <f>AQ57/(1+_zawtbl)^A57</f>
        <v/>
      </c>
      <c r="AV57" s="5">
        <f>AV56+AU57</f>
        <v/>
      </c>
      <c r="AW57" s="5">
        <f>IF(AND(AV56&lt;0,AV57&gt;=0,AU57&gt;0),1,0)</f>
        <v/>
      </c>
      <c r="AX57" s="5">
        <f>_zs8nv3*C57</f>
        <v/>
      </c>
      <c r="AY57" s="5">
        <f>IF(B57,_zkfhzg+I57-AO57,0)</f>
        <v/>
      </c>
      <c r="AZ57" s="5">
        <f>IF(AP57=0,AZ56,SIGN(AP57))</f>
        <v/>
      </c>
      <c r="BA57" s="5">
        <f>BA56+IF(OR(AP57=0,AZ56=0),0,IF(SIGN(AP57)&lt;&gt;AZ56,1,0))</f>
        <v/>
      </c>
      <c r="BB57" s="5">
        <f>IF(AQ57=0,BB56,SIGN(AQ57))</f>
        <v/>
      </c>
      <c r="BC57" s="5">
        <f>BC56+IF(OR(AQ57=0,BB56=0),0,IF(SIGN(AQ57)&lt;&gt;BB56,1,0))</f>
        <v/>
      </c>
      <c r="BD57" s="5">
        <f>IF(AR57=0,BD56,SIGN(AR57))</f>
        <v/>
      </c>
      <c r="BE57" s="5">
        <f>BE56+IF(OR(AR57=0,BD56=0),0,IF(SIGN(AR57)&lt;&gt;BD56,1,0))</f>
        <v/>
      </c>
    </row>
    <row r="58">
      <c r="A58" s="5" t="n">
        <v>11</v>
      </c>
      <c r="B58" s="5">
        <f>AND(A58&gt;=1,A58&lt;=_zx5hja)</f>
        <v/>
      </c>
      <c r="C58" s="5">
        <f>IF(B58,(1-_zg5443)^(A58-1),0)</f>
        <v/>
      </c>
      <c r="D58" s="5">
        <f>_zt11ik*C58</f>
        <v/>
      </c>
      <c r="E58" s="5">
        <f>_z5gr99*C58</f>
        <v/>
      </c>
      <c r="F58" s="5">
        <f>_zk8d4f*D58+_zsw7bq*E58</f>
        <v/>
      </c>
      <c r="G58" s="5">
        <f>F58/(1+0.13)</f>
        <v/>
      </c>
      <c r="H58" s="5">
        <f>F58-G58</f>
        <v/>
      </c>
      <c r="I58" s="5">
        <f>IF(AND(B58,A58=_ztfkfy),_z67r2o*_z0m7ys,0)</f>
        <v/>
      </c>
      <c r="J58" s="5">
        <f>I58*0.13/(1+0.13)</f>
        <v/>
      </c>
      <c r="K58" s="5">
        <f>M57+J58</f>
        <v/>
      </c>
      <c r="L58" s="5">
        <f>MAX(0,H58-K58)</f>
        <v/>
      </c>
      <c r="M58" s="5">
        <f>MAX(0,K58-H58)</f>
        <v/>
      </c>
      <c r="N58" s="5">
        <f>L58*0.12</f>
        <v/>
      </c>
      <c r="O58" s="5">
        <f>S57</f>
        <v/>
      </c>
      <c r="P58" s="5">
        <f>IF(AND(B58,A58&lt;=_z2al7i),O58*_zyywx7,0)</f>
        <v/>
      </c>
      <c r="Q58" s="5">
        <f>IF(AND(B58,A58&lt;=_z2al7i),_zgsfrl,0)</f>
        <v/>
      </c>
      <c r="R58" s="5">
        <f>Q58-P58</f>
        <v/>
      </c>
      <c r="S58" s="5">
        <f>MAX(0,O58-R58)</f>
        <v/>
      </c>
      <c r="T58" s="5">
        <f>IF(AND(B58,A58&lt;=_zupe8l),_z0jo6h,0)</f>
        <v/>
      </c>
      <c r="U58" s="5">
        <f>IF((_zhsdpd="是"),IF(A58&lt;=3,0,IF(A58&lt;=6,0.5,1)),1)</f>
        <v/>
      </c>
      <c r="V58" s="5">
        <f>_zrzkf6*U58+(1-_zrzkf6)</f>
        <v/>
      </c>
      <c r="W58" s="5">
        <f>IF(B58,G58-_zkfhzg-N58-T58-I58,0)</f>
        <v/>
      </c>
      <c r="X58" s="5">
        <f>MAX(0,-W57)</f>
        <v/>
      </c>
      <c r="Y58" s="5">
        <f>MIN(X57,MAX(0,(AB57+AA57+Z57+Y57+X57)-AC57))</f>
        <v/>
      </c>
      <c r="Z58" s="5">
        <f>MIN(Y57,MAX(0,(AB57+AA57+Z57+Y57)-AC57))</f>
        <v/>
      </c>
      <c r="AA58" s="5">
        <f>MIN(Z57,MAX(0,(AB57+AA57+Z57)-AC57))</f>
        <v/>
      </c>
      <c r="AB58" s="5">
        <f>MIN(AA57,MAX(0,(AB57+AA57)-AC57))</f>
        <v/>
      </c>
      <c r="AC58" s="5">
        <f>MIN(MAX(W58,0),X58+Y58+Z58+AA58+AB58)</f>
        <v/>
      </c>
      <c r="AD58" s="5">
        <f>MAX(W58,0)-AC58</f>
        <v/>
      </c>
      <c r="AE58" s="5">
        <f>AD58*_zs8hxw*V58</f>
        <v/>
      </c>
      <c r="AF58" s="5">
        <f>IF(B58,W58-P58,0)</f>
        <v/>
      </c>
      <c r="AG58" s="5">
        <f>MAX(0,-AF57)</f>
        <v/>
      </c>
      <c r="AH58" s="5">
        <f>MIN(AG57,MAX(0,(AK57+AJ57+AI57+AH57+AG57)-AL57))</f>
        <v/>
      </c>
      <c r="AI58" s="5">
        <f>MIN(AH57,MAX(0,(AK57+AJ57+AI57+AH57)-AL57))</f>
        <v/>
      </c>
      <c r="AJ58" s="5">
        <f>MIN(AI57,MAX(0,(AK57+AJ57+AI57)-AL57))</f>
        <v/>
      </c>
      <c r="AK58" s="5">
        <f>MIN(AJ57,MAX(0,(AK57+AJ57)-AL57))</f>
        <v/>
      </c>
      <c r="AL58" s="5">
        <f>MIN(MAX(AF58,0),AG58+AH58+AI58+AJ58+AK58)</f>
        <v/>
      </c>
      <c r="AM58" s="5">
        <f>MAX(AF58,0)-AL58</f>
        <v/>
      </c>
      <c r="AN58" s="5">
        <f>AM58*_zs8hxw*V58</f>
        <v/>
      </c>
      <c r="AO58" s="5">
        <f>IF(A58=_zx5hja,_zk1wd3,0)</f>
        <v/>
      </c>
      <c r="AP58" s="5">
        <f>IF(B58,F58-_zkfhzg-L58-N58-I58+AO58,0)</f>
        <v/>
      </c>
      <c r="AQ58" s="5">
        <f>AP58-AE58</f>
        <v/>
      </c>
      <c r="AR58" s="5">
        <f>IF(B58,F58-_zkfhzg-L58-N58-I58-Q58-AN58+AO58-IF(AND(A58=_zx5hja,_z2al7i&gt;_zx5hja),S58,0),0)</f>
        <v/>
      </c>
      <c r="AS58" s="5">
        <f>AS57+AQ58</f>
        <v/>
      </c>
      <c r="AT58" s="5">
        <f>IF(AND(AS57&lt;0,AS58&gt;=0,AQ58&gt;0),1,0)</f>
        <v/>
      </c>
      <c r="AU58" s="5">
        <f>AQ58/(1+_zawtbl)^A58</f>
        <v/>
      </c>
      <c r="AV58" s="5">
        <f>AV57+AU58</f>
        <v/>
      </c>
      <c r="AW58" s="5">
        <f>IF(AND(AV57&lt;0,AV58&gt;=0,AU58&gt;0),1,0)</f>
        <v/>
      </c>
      <c r="AX58" s="5">
        <f>_zs8nv3*C58</f>
        <v/>
      </c>
      <c r="AY58" s="5">
        <f>IF(B58,_zkfhzg+I58-AO58,0)</f>
        <v/>
      </c>
      <c r="AZ58" s="5">
        <f>IF(AP58=0,AZ57,SIGN(AP58))</f>
        <v/>
      </c>
      <c r="BA58" s="5">
        <f>BA57+IF(OR(AP58=0,AZ57=0),0,IF(SIGN(AP58)&lt;&gt;AZ57,1,0))</f>
        <v/>
      </c>
      <c r="BB58" s="5">
        <f>IF(AQ58=0,BB57,SIGN(AQ58))</f>
        <v/>
      </c>
      <c r="BC58" s="5">
        <f>BC57+IF(OR(AQ58=0,BB57=0),0,IF(SIGN(AQ58)&lt;&gt;BB57,1,0))</f>
        <v/>
      </c>
      <c r="BD58" s="5">
        <f>IF(AR58=0,BD57,SIGN(AR58))</f>
        <v/>
      </c>
      <c r="BE58" s="5">
        <f>BE57+IF(OR(AR58=0,BD57=0),0,IF(SIGN(AR58)&lt;&gt;BD57,1,0))</f>
        <v/>
      </c>
    </row>
    <row r="59">
      <c r="A59" s="5" t="n">
        <v>12</v>
      </c>
      <c r="B59" s="5">
        <f>AND(A59&gt;=1,A59&lt;=_zx5hja)</f>
        <v/>
      </c>
      <c r="C59" s="5">
        <f>IF(B59,(1-_zg5443)^(A59-1),0)</f>
        <v/>
      </c>
      <c r="D59" s="5">
        <f>_zt11ik*C59</f>
        <v/>
      </c>
      <c r="E59" s="5">
        <f>_z5gr99*C59</f>
        <v/>
      </c>
      <c r="F59" s="5">
        <f>_zk8d4f*D59+_zsw7bq*E59</f>
        <v/>
      </c>
      <c r="G59" s="5">
        <f>F59/(1+0.13)</f>
        <v/>
      </c>
      <c r="H59" s="5">
        <f>F59-G59</f>
        <v/>
      </c>
      <c r="I59" s="5">
        <f>IF(AND(B59,A59=_ztfkfy),_z67r2o*_z0m7ys,0)</f>
        <v/>
      </c>
      <c r="J59" s="5">
        <f>I59*0.13/(1+0.13)</f>
        <v/>
      </c>
      <c r="K59" s="5">
        <f>M58+J59</f>
        <v/>
      </c>
      <c r="L59" s="5">
        <f>MAX(0,H59-K59)</f>
        <v/>
      </c>
      <c r="M59" s="5">
        <f>MAX(0,K59-H59)</f>
        <v/>
      </c>
      <c r="N59" s="5">
        <f>L59*0.12</f>
        <v/>
      </c>
      <c r="O59" s="5">
        <f>S58</f>
        <v/>
      </c>
      <c r="P59" s="5">
        <f>IF(AND(B59,A59&lt;=_z2al7i),O59*_zyywx7,0)</f>
        <v/>
      </c>
      <c r="Q59" s="5">
        <f>IF(AND(B59,A59&lt;=_z2al7i),_zgsfrl,0)</f>
        <v/>
      </c>
      <c r="R59" s="5">
        <f>Q59-P59</f>
        <v/>
      </c>
      <c r="S59" s="5">
        <f>MAX(0,O59-R59)</f>
        <v/>
      </c>
      <c r="T59" s="5">
        <f>IF(AND(B59,A59&lt;=_zupe8l),_z0jo6h,0)</f>
        <v/>
      </c>
      <c r="U59" s="5">
        <f>IF((_zhsdpd="是"),IF(A59&lt;=3,0,IF(A59&lt;=6,0.5,1)),1)</f>
        <v/>
      </c>
      <c r="V59" s="5">
        <f>_zrzkf6*U59+(1-_zrzkf6)</f>
        <v/>
      </c>
      <c r="W59" s="5">
        <f>IF(B59,G59-_zkfhzg-N59-T59-I59,0)</f>
        <v/>
      </c>
      <c r="X59" s="5">
        <f>MAX(0,-W58)</f>
        <v/>
      </c>
      <c r="Y59" s="5">
        <f>MIN(X58,MAX(0,(AB58+AA58+Z58+Y58+X58)-AC58))</f>
        <v/>
      </c>
      <c r="Z59" s="5">
        <f>MIN(Y58,MAX(0,(AB58+AA58+Z58+Y58)-AC58))</f>
        <v/>
      </c>
      <c r="AA59" s="5">
        <f>MIN(Z58,MAX(0,(AB58+AA58+Z58)-AC58))</f>
        <v/>
      </c>
      <c r="AB59" s="5">
        <f>MIN(AA58,MAX(0,(AB58+AA58)-AC58))</f>
        <v/>
      </c>
      <c r="AC59" s="5">
        <f>MIN(MAX(W59,0),X59+Y59+Z59+AA59+AB59)</f>
        <v/>
      </c>
      <c r="AD59" s="5">
        <f>MAX(W59,0)-AC59</f>
        <v/>
      </c>
      <c r="AE59" s="5">
        <f>AD59*_zs8hxw*V59</f>
        <v/>
      </c>
      <c r="AF59" s="5">
        <f>IF(B59,W59-P59,0)</f>
        <v/>
      </c>
      <c r="AG59" s="5">
        <f>MAX(0,-AF58)</f>
        <v/>
      </c>
      <c r="AH59" s="5">
        <f>MIN(AG58,MAX(0,(AK58+AJ58+AI58+AH58+AG58)-AL58))</f>
        <v/>
      </c>
      <c r="AI59" s="5">
        <f>MIN(AH58,MAX(0,(AK58+AJ58+AI58+AH58)-AL58))</f>
        <v/>
      </c>
      <c r="AJ59" s="5">
        <f>MIN(AI58,MAX(0,(AK58+AJ58+AI58)-AL58))</f>
        <v/>
      </c>
      <c r="AK59" s="5">
        <f>MIN(AJ58,MAX(0,(AK58+AJ58)-AL58))</f>
        <v/>
      </c>
      <c r="AL59" s="5">
        <f>MIN(MAX(AF59,0),AG59+AH59+AI59+AJ59+AK59)</f>
        <v/>
      </c>
      <c r="AM59" s="5">
        <f>MAX(AF59,0)-AL59</f>
        <v/>
      </c>
      <c r="AN59" s="5">
        <f>AM59*_zs8hxw*V59</f>
        <v/>
      </c>
      <c r="AO59" s="5">
        <f>IF(A59=_zx5hja,_zk1wd3,0)</f>
        <v/>
      </c>
      <c r="AP59" s="5">
        <f>IF(B59,F59-_zkfhzg-L59-N59-I59+AO59,0)</f>
        <v/>
      </c>
      <c r="AQ59" s="5">
        <f>AP59-AE59</f>
        <v/>
      </c>
      <c r="AR59" s="5">
        <f>IF(B59,F59-_zkfhzg-L59-N59-I59-Q59-AN59+AO59-IF(AND(A59=_zx5hja,_z2al7i&gt;_zx5hja),S59,0),0)</f>
        <v/>
      </c>
      <c r="AS59" s="5">
        <f>AS58+AQ59</f>
        <v/>
      </c>
      <c r="AT59" s="5">
        <f>IF(AND(AS58&lt;0,AS59&gt;=0,AQ59&gt;0),1,0)</f>
        <v/>
      </c>
      <c r="AU59" s="5">
        <f>AQ59/(1+_zawtbl)^A59</f>
        <v/>
      </c>
      <c r="AV59" s="5">
        <f>AV58+AU59</f>
        <v/>
      </c>
      <c r="AW59" s="5">
        <f>IF(AND(AV58&lt;0,AV59&gt;=0,AU59&gt;0),1,0)</f>
        <v/>
      </c>
      <c r="AX59" s="5">
        <f>_zs8nv3*C59</f>
        <v/>
      </c>
      <c r="AY59" s="5">
        <f>IF(B59,_zkfhzg+I59-AO59,0)</f>
        <v/>
      </c>
      <c r="AZ59" s="5">
        <f>IF(AP59=0,AZ58,SIGN(AP59))</f>
        <v/>
      </c>
      <c r="BA59" s="5">
        <f>BA58+IF(OR(AP59=0,AZ58=0),0,IF(SIGN(AP59)&lt;&gt;AZ58,1,0))</f>
        <v/>
      </c>
      <c r="BB59" s="5">
        <f>IF(AQ59=0,BB58,SIGN(AQ59))</f>
        <v/>
      </c>
      <c r="BC59" s="5">
        <f>BC58+IF(OR(AQ59=0,BB58=0),0,IF(SIGN(AQ59)&lt;&gt;BB58,1,0))</f>
        <v/>
      </c>
      <c r="BD59" s="5">
        <f>IF(AR59=0,BD58,SIGN(AR59))</f>
        <v/>
      </c>
      <c r="BE59" s="5">
        <f>BE58+IF(OR(AR59=0,BD58=0),0,IF(SIGN(AR59)&lt;&gt;BD58,1,0))</f>
        <v/>
      </c>
    </row>
    <row r="60">
      <c r="A60" s="5" t="n">
        <v>13</v>
      </c>
      <c r="B60" s="5">
        <f>AND(A60&gt;=1,A60&lt;=_zx5hja)</f>
        <v/>
      </c>
      <c r="C60" s="5">
        <f>IF(B60,(1-_zg5443)^(A60-1),0)</f>
        <v/>
      </c>
      <c r="D60" s="5">
        <f>_zt11ik*C60</f>
        <v/>
      </c>
      <c r="E60" s="5">
        <f>_z5gr99*C60</f>
        <v/>
      </c>
      <c r="F60" s="5">
        <f>_zk8d4f*D60+_zsw7bq*E60</f>
        <v/>
      </c>
      <c r="G60" s="5">
        <f>F60/(1+0.13)</f>
        <v/>
      </c>
      <c r="H60" s="5">
        <f>F60-G60</f>
        <v/>
      </c>
      <c r="I60" s="5">
        <f>IF(AND(B60,A60=_ztfkfy),_z67r2o*_z0m7ys,0)</f>
        <v/>
      </c>
      <c r="J60" s="5">
        <f>I60*0.13/(1+0.13)</f>
        <v/>
      </c>
      <c r="K60" s="5">
        <f>M59+J60</f>
        <v/>
      </c>
      <c r="L60" s="5">
        <f>MAX(0,H60-K60)</f>
        <v/>
      </c>
      <c r="M60" s="5">
        <f>MAX(0,K60-H60)</f>
        <v/>
      </c>
      <c r="N60" s="5">
        <f>L60*0.12</f>
        <v/>
      </c>
      <c r="O60" s="5">
        <f>S59</f>
        <v/>
      </c>
      <c r="P60" s="5">
        <f>IF(AND(B60,A60&lt;=_z2al7i),O60*_zyywx7,0)</f>
        <v/>
      </c>
      <c r="Q60" s="5">
        <f>IF(AND(B60,A60&lt;=_z2al7i),_zgsfrl,0)</f>
        <v/>
      </c>
      <c r="R60" s="5">
        <f>Q60-P60</f>
        <v/>
      </c>
      <c r="S60" s="5">
        <f>MAX(0,O60-R60)</f>
        <v/>
      </c>
      <c r="T60" s="5">
        <f>IF(AND(B60,A60&lt;=_zupe8l),_z0jo6h,0)</f>
        <v/>
      </c>
      <c r="U60" s="5">
        <f>IF((_zhsdpd="是"),IF(A60&lt;=3,0,IF(A60&lt;=6,0.5,1)),1)</f>
        <v/>
      </c>
      <c r="V60" s="5">
        <f>_zrzkf6*U60+(1-_zrzkf6)</f>
        <v/>
      </c>
      <c r="W60" s="5">
        <f>IF(B60,G60-_zkfhzg-N60-T60-I60,0)</f>
        <v/>
      </c>
      <c r="X60" s="5">
        <f>MAX(0,-W59)</f>
        <v/>
      </c>
      <c r="Y60" s="5">
        <f>MIN(X59,MAX(0,(AB59+AA59+Z59+Y59+X59)-AC59))</f>
        <v/>
      </c>
      <c r="Z60" s="5">
        <f>MIN(Y59,MAX(0,(AB59+AA59+Z59+Y59)-AC59))</f>
        <v/>
      </c>
      <c r="AA60" s="5">
        <f>MIN(Z59,MAX(0,(AB59+AA59+Z59)-AC59))</f>
        <v/>
      </c>
      <c r="AB60" s="5">
        <f>MIN(AA59,MAX(0,(AB59+AA59)-AC59))</f>
        <v/>
      </c>
      <c r="AC60" s="5">
        <f>MIN(MAX(W60,0),X60+Y60+Z60+AA60+AB60)</f>
        <v/>
      </c>
      <c r="AD60" s="5">
        <f>MAX(W60,0)-AC60</f>
        <v/>
      </c>
      <c r="AE60" s="5">
        <f>AD60*_zs8hxw*V60</f>
        <v/>
      </c>
      <c r="AF60" s="5">
        <f>IF(B60,W60-P60,0)</f>
        <v/>
      </c>
      <c r="AG60" s="5">
        <f>MAX(0,-AF59)</f>
        <v/>
      </c>
      <c r="AH60" s="5">
        <f>MIN(AG59,MAX(0,(AK59+AJ59+AI59+AH59+AG59)-AL59))</f>
        <v/>
      </c>
      <c r="AI60" s="5">
        <f>MIN(AH59,MAX(0,(AK59+AJ59+AI59+AH59)-AL59))</f>
        <v/>
      </c>
      <c r="AJ60" s="5">
        <f>MIN(AI59,MAX(0,(AK59+AJ59+AI59)-AL59))</f>
        <v/>
      </c>
      <c r="AK60" s="5">
        <f>MIN(AJ59,MAX(0,(AK59+AJ59)-AL59))</f>
        <v/>
      </c>
      <c r="AL60" s="5">
        <f>MIN(MAX(AF60,0),AG60+AH60+AI60+AJ60+AK60)</f>
        <v/>
      </c>
      <c r="AM60" s="5">
        <f>MAX(AF60,0)-AL60</f>
        <v/>
      </c>
      <c r="AN60" s="5">
        <f>AM60*_zs8hxw*V60</f>
        <v/>
      </c>
      <c r="AO60" s="5">
        <f>IF(A60=_zx5hja,_zk1wd3,0)</f>
        <v/>
      </c>
      <c r="AP60" s="5">
        <f>IF(B60,F60-_zkfhzg-L60-N60-I60+AO60,0)</f>
        <v/>
      </c>
      <c r="AQ60" s="5">
        <f>AP60-AE60</f>
        <v/>
      </c>
      <c r="AR60" s="5">
        <f>IF(B60,F60-_zkfhzg-L60-N60-I60-Q60-AN60+AO60-IF(AND(A60=_zx5hja,_z2al7i&gt;_zx5hja),S60,0),0)</f>
        <v/>
      </c>
      <c r="AS60" s="5">
        <f>AS59+AQ60</f>
        <v/>
      </c>
      <c r="AT60" s="5">
        <f>IF(AND(AS59&lt;0,AS60&gt;=0,AQ60&gt;0),1,0)</f>
        <v/>
      </c>
      <c r="AU60" s="5">
        <f>AQ60/(1+_zawtbl)^A60</f>
        <v/>
      </c>
      <c r="AV60" s="5">
        <f>AV59+AU60</f>
        <v/>
      </c>
      <c r="AW60" s="5">
        <f>IF(AND(AV59&lt;0,AV60&gt;=0,AU60&gt;0),1,0)</f>
        <v/>
      </c>
      <c r="AX60" s="5">
        <f>_zs8nv3*C60</f>
        <v/>
      </c>
      <c r="AY60" s="5">
        <f>IF(B60,_zkfhzg+I60-AO60,0)</f>
        <v/>
      </c>
      <c r="AZ60" s="5">
        <f>IF(AP60=0,AZ59,SIGN(AP60))</f>
        <v/>
      </c>
      <c r="BA60" s="5">
        <f>BA59+IF(OR(AP60=0,AZ59=0),0,IF(SIGN(AP60)&lt;&gt;AZ59,1,0))</f>
        <v/>
      </c>
      <c r="BB60" s="5">
        <f>IF(AQ60=0,BB59,SIGN(AQ60))</f>
        <v/>
      </c>
      <c r="BC60" s="5">
        <f>BC59+IF(OR(AQ60=0,BB59=0),0,IF(SIGN(AQ60)&lt;&gt;BB59,1,0))</f>
        <v/>
      </c>
      <c r="BD60" s="5">
        <f>IF(AR60=0,BD59,SIGN(AR60))</f>
        <v/>
      </c>
      <c r="BE60" s="5">
        <f>BE59+IF(OR(AR60=0,BD59=0),0,IF(SIGN(AR60)&lt;&gt;BD59,1,0))</f>
        <v/>
      </c>
    </row>
    <row r="61">
      <c r="A61" s="5" t="n">
        <v>14</v>
      </c>
      <c r="B61" s="5">
        <f>AND(A61&gt;=1,A61&lt;=_zx5hja)</f>
        <v/>
      </c>
      <c r="C61" s="5">
        <f>IF(B61,(1-_zg5443)^(A61-1),0)</f>
        <v/>
      </c>
      <c r="D61" s="5">
        <f>_zt11ik*C61</f>
        <v/>
      </c>
      <c r="E61" s="5">
        <f>_z5gr99*C61</f>
        <v/>
      </c>
      <c r="F61" s="5">
        <f>_zk8d4f*D61+_zsw7bq*E61</f>
        <v/>
      </c>
      <c r="G61" s="5">
        <f>F61/(1+0.13)</f>
        <v/>
      </c>
      <c r="H61" s="5">
        <f>F61-G61</f>
        <v/>
      </c>
      <c r="I61" s="5">
        <f>IF(AND(B61,A61=_ztfkfy),_z67r2o*_z0m7ys,0)</f>
        <v/>
      </c>
      <c r="J61" s="5">
        <f>I61*0.13/(1+0.13)</f>
        <v/>
      </c>
      <c r="K61" s="5">
        <f>M60+J61</f>
        <v/>
      </c>
      <c r="L61" s="5">
        <f>MAX(0,H61-K61)</f>
        <v/>
      </c>
      <c r="M61" s="5">
        <f>MAX(0,K61-H61)</f>
        <v/>
      </c>
      <c r="N61" s="5">
        <f>L61*0.12</f>
        <v/>
      </c>
      <c r="O61" s="5">
        <f>S60</f>
        <v/>
      </c>
      <c r="P61" s="5">
        <f>IF(AND(B61,A61&lt;=_z2al7i),O61*_zyywx7,0)</f>
        <v/>
      </c>
      <c r="Q61" s="5">
        <f>IF(AND(B61,A61&lt;=_z2al7i),_zgsfrl,0)</f>
        <v/>
      </c>
      <c r="R61" s="5">
        <f>Q61-P61</f>
        <v/>
      </c>
      <c r="S61" s="5">
        <f>MAX(0,O61-R61)</f>
        <v/>
      </c>
      <c r="T61" s="5">
        <f>IF(AND(B61,A61&lt;=_zupe8l),_z0jo6h,0)</f>
        <v/>
      </c>
      <c r="U61" s="5">
        <f>IF((_zhsdpd="是"),IF(A61&lt;=3,0,IF(A61&lt;=6,0.5,1)),1)</f>
        <v/>
      </c>
      <c r="V61" s="5">
        <f>_zrzkf6*U61+(1-_zrzkf6)</f>
        <v/>
      </c>
      <c r="W61" s="5">
        <f>IF(B61,G61-_zkfhzg-N61-T61-I61,0)</f>
        <v/>
      </c>
      <c r="X61" s="5">
        <f>MAX(0,-W60)</f>
        <v/>
      </c>
      <c r="Y61" s="5">
        <f>MIN(X60,MAX(0,(AB60+AA60+Z60+Y60+X60)-AC60))</f>
        <v/>
      </c>
      <c r="Z61" s="5">
        <f>MIN(Y60,MAX(0,(AB60+AA60+Z60+Y60)-AC60))</f>
        <v/>
      </c>
      <c r="AA61" s="5">
        <f>MIN(Z60,MAX(0,(AB60+AA60+Z60)-AC60))</f>
        <v/>
      </c>
      <c r="AB61" s="5">
        <f>MIN(AA60,MAX(0,(AB60+AA60)-AC60))</f>
        <v/>
      </c>
      <c r="AC61" s="5">
        <f>MIN(MAX(W61,0),X61+Y61+Z61+AA61+AB61)</f>
        <v/>
      </c>
      <c r="AD61" s="5">
        <f>MAX(W61,0)-AC61</f>
        <v/>
      </c>
      <c r="AE61" s="5">
        <f>AD61*_zs8hxw*V61</f>
        <v/>
      </c>
      <c r="AF61" s="5">
        <f>IF(B61,W61-P61,0)</f>
        <v/>
      </c>
      <c r="AG61" s="5">
        <f>MAX(0,-AF60)</f>
        <v/>
      </c>
      <c r="AH61" s="5">
        <f>MIN(AG60,MAX(0,(AK60+AJ60+AI60+AH60+AG60)-AL60))</f>
        <v/>
      </c>
      <c r="AI61" s="5">
        <f>MIN(AH60,MAX(0,(AK60+AJ60+AI60+AH60)-AL60))</f>
        <v/>
      </c>
      <c r="AJ61" s="5">
        <f>MIN(AI60,MAX(0,(AK60+AJ60+AI60)-AL60))</f>
        <v/>
      </c>
      <c r="AK61" s="5">
        <f>MIN(AJ60,MAX(0,(AK60+AJ60)-AL60))</f>
        <v/>
      </c>
      <c r="AL61" s="5">
        <f>MIN(MAX(AF61,0),AG61+AH61+AI61+AJ61+AK61)</f>
        <v/>
      </c>
      <c r="AM61" s="5">
        <f>MAX(AF61,0)-AL61</f>
        <v/>
      </c>
      <c r="AN61" s="5">
        <f>AM61*_zs8hxw*V61</f>
        <v/>
      </c>
      <c r="AO61" s="5">
        <f>IF(A61=_zx5hja,_zk1wd3,0)</f>
        <v/>
      </c>
      <c r="AP61" s="5">
        <f>IF(B61,F61-_zkfhzg-L61-N61-I61+AO61,0)</f>
        <v/>
      </c>
      <c r="AQ61" s="5">
        <f>AP61-AE61</f>
        <v/>
      </c>
      <c r="AR61" s="5">
        <f>IF(B61,F61-_zkfhzg-L61-N61-I61-Q61-AN61+AO61-IF(AND(A61=_zx5hja,_z2al7i&gt;_zx5hja),S61,0),0)</f>
        <v/>
      </c>
      <c r="AS61" s="5">
        <f>AS60+AQ61</f>
        <v/>
      </c>
      <c r="AT61" s="5">
        <f>IF(AND(AS60&lt;0,AS61&gt;=0,AQ61&gt;0),1,0)</f>
        <v/>
      </c>
      <c r="AU61" s="5">
        <f>AQ61/(1+_zawtbl)^A61</f>
        <v/>
      </c>
      <c r="AV61" s="5">
        <f>AV60+AU61</f>
        <v/>
      </c>
      <c r="AW61" s="5">
        <f>IF(AND(AV60&lt;0,AV61&gt;=0,AU61&gt;0),1,0)</f>
        <v/>
      </c>
      <c r="AX61" s="5">
        <f>_zs8nv3*C61</f>
        <v/>
      </c>
      <c r="AY61" s="5">
        <f>IF(B61,_zkfhzg+I61-AO61,0)</f>
        <v/>
      </c>
      <c r="AZ61" s="5">
        <f>IF(AP61=0,AZ60,SIGN(AP61))</f>
        <v/>
      </c>
      <c r="BA61" s="5">
        <f>BA60+IF(OR(AP61=0,AZ60=0),0,IF(SIGN(AP61)&lt;&gt;AZ60,1,0))</f>
        <v/>
      </c>
      <c r="BB61" s="5">
        <f>IF(AQ61=0,BB60,SIGN(AQ61))</f>
        <v/>
      </c>
      <c r="BC61" s="5">
        <f>BC60+IF(OR(AQ61=0,BB60=0),0,IF(SIGN(AQ61)&lt;&gt;BB60,1,0))</f>
        <v/>
      </c>
      <c r="BD61" s="5">
        <f>IF(AR61=0,BD60,SIGN(AR61))</f>
        <v/>
      </c>
      <c r="BE61" s="5">
        <f>BE60+IF(OR(AR61=0,BD60=0),0,IF(SIGN(AR61)&lt;&gt;BD60,1,0))</f>
        <v/>
      </c>
    </row>
    <row r="62">
      <c r="A62" s="5" t="n">
        <v>15</v>
      </c>
      <c r="B62" s="5">
        <f>AND(A62&gt;=1,A62&lt;=_zx5hja)</f>
        <v/>
      </c>
      <c r="C62" s="5">
        <f>IF(B62,(1-_zg5443)^(A62-1),0)</f>
        <v/>
      </c>
      <c r="D62" s="5">
        <f>_zt11ik*C62</f>
        <v/>
      </c>
      <c r="E62" s="5">
        <f>_z5gr99*C62</f>
        <v/>
      </c>
      <c r="F62" s="5">
        <f>_zk8d4f*D62+_zsw7bq*E62</f>
        <v/>
      </c>
      <c r="G62" s="5">
        <f>F62/(1+0.13)</f>
        <v/>
      </c>
      <c r="H62" s="5">
        <f>F62-G62</f>
        <v/>
      </c>
      <c r="I62" s="5">
        <f>IF(AND(B62,A62=_ztfkfy),_z67r2o*_z0m7ys,0)</f>
        <v/>
      </c>
      <c r="J62" s="5">
        <f>I62*0.13/(1+0.13)</f>
        <v/>
      </c>
      <c r="K62" s="5">
        <f>M61+J62</f>
        <v/>
      </c>
      <c r="L62" s="5">
        <f>MAX(0,H62-K62)</f>
        <v/>
      </c>
      <c r="M62" s="5">
        <f>MAX(0,K62-H62)</f>
        <v/>
      </c>
      <c r="N62" s="5">
        <f>L62*0.12</f>
        <v/>
      </c>
      <c r="O62" s="5">
        <f>S61</f>
        <v/>
      </c>
      <c r="P62" s="5">
        <f>IF(AND(B62,A62&lt;=_z2al7i),O62*_zyywx7,0)</f>
        <v/>
      </c>
      <c r="Q62" s="5">
        <f>IF(AND(B62,A62&lt;=_z2al7i),_zgsfrl,0)</f>
        <v/>
      </c>
      <c r="R62" s="5">
        <f>Q62-P62</f>
        <v/>
      </c>
      <c r="S62" s="5">
        <f>MAX(0,O62-R62)</f>
        <v/>
      </c>
      <c r="T62" s="5">
        <f>IF(AND(B62,A62&lt;=_zupe8l),_z0jo6h,0)</f>
        <v/>
      </c>
      <c r="U62" s="5">
        <f>IF((_zhsdpd="是"),IF(A62&lt;=3,0,IF(A62&lt;=6,0.5,1)),1)</f>
        <v/>
      </c>
      <c r="V62" s="5">
        <f>_zrzkf6*U62+(1-_zrzkf6)</f>
        <v/>
      </c>
      <c r="W62" s="5">
        <f>IF(B62,G62-_zkfhzg-N62-T62-I62,0)</f>
        <v/>
      </c>
      <c r="X62" s="5">
        <f>MAX(0,-W61)</f>
        <v/>
      </c>
      <c r="Y62" s="5">
        <f>MIN(X61,MAX(0,(AB61+AA61+Z61+Y61+X61)-AC61))</f>
        <v/>
      </c>
      <c r="Z62" s="5">
        <f>MIN(Y61,MAX(0,(AB61+AA61+Z61+Y61)-AC61))</f>
        <v/>
      </c>
      <c r="AA62" s="5">
        <f>MIN(Z61,MAX(0,(AB61+AA61+Z61)-AC61))</f>
        <v/>
      </c>
      <c r="AB62" s="5">
        <f>MIN(AA61,MAX(0,(AB61+AA61)-AC61))</f>
        <v/>
      </c>
      <c r="AC62" s="5">
        <f>MIN(MAX(W62,0),X62+Y62+Z62+AA62+AB62)</f>
        <v/>
      </c>
      <c r="AD62" s="5">
        <f>MAX(W62,0)-AC62</f>
        <v/>
      </c>
      <c r="AE62" s="5">
        <f>AD62*_zs8hxw*V62</f>
        <v/>
      </c>
      <c r="AF62" s="5">
        <f>IF(B62,W62-P62,0)</f>
        <v/>
      </c>
      <c r="AG62" s="5">
        <f>MAX(0,-AF61)</f>
        <v/>
      </c>
      <c r="AH62" s="5">
        <f>MIN(AG61,MAX(0,(AK61+AJ61+AI61+AH61+AG61)-AL61))</f>
        <v/>
      </c>
      <c r="AI62" s="5">
        <f>MIN(AH61,MAX(0,(AK61+AJ61+AI61+AH61)-AL61))</f>
        <v/>
      </c>
      <c r="AJ62" s="5">
        <f>MIN(AI61,MAX(0,(AK61+AJ61+AI61)-AL61))</f>
        <v/>
      </c>
      <c r="AK62" s="5">
        <f>MIN(AJ61,MAX(0,(AK61+AJ61)-AL61))</f>
        <v/>
      </c>
      <c r="AL62" s="5">
        <f>MIN(MAX(AF62,0),AG62+AH62+AI62+AJ62+AK62)</f>
        <v/>
      </c>
      <c r="AM62" s="5">
        <f>MAX(AF62,0)-AL62</f>
        <v/>
      </c>
      <c r="AN62" s="5">
        <f>AM62*_zs8hxw*V62</f>
        <v/>
      </c>
      <c r="AO62" s="5">
        <f>IF(A62=_zx5hja,_zk1wd3,0)</f>
        <v/>
      </c>
      <c r="AP62" s="5">
        <f>IF(B62,F62-_zkfhzg-L62-N62-I62+AO62,0)</f>
        <v/>
      </c>
      <c r="AQ62" s="5">
        <f>AP62-AE62</f>
        <v/>
      </c>
      <c r="AR62" s="5">
        <f>IF(B62,F62-_zkfhzg-L62-N62-I62-Q62-AN62+AO62-IF(AND(A62=_zx5hja,_z2al7i&gt;_zx5hja),S62,0),0)</f>
        <v/>
      </c>
      <c r="AS62" s="5">
        <f>AS61+AQ62</f>
        <v/>
      </c>
      <c r="AT62" s="5">
        <f>IF(AND(AS61&lt;0,AS62&gt;=0,AQ62&gt;0),1,0)</f>
        <v/>
      </c>
      <c r="AU62" s="5">
        <f>AQ62/(1+_zawtbl)^A62</f>
        <v/>
      </c>
      <c r="AV62" s="5">
        <f>AV61+AU62</f>
        <v/>
      </c>
      <c r="AW62" s="5">
        <f>IF(AND(AV61&lt;0,AV62&gt;=0,AU62&gt;0),1,0)</f>
        <v/>
      </c>
      <c r="AX62" s="5">
        <f>_zs8nv3*C62</f>
        <v/>
      </c>
      <c r="AY62" s="5">
        <f>IF(B62,_zkfhzg+I62-AO62,0)</f>
        <v/>
      </c>
      <c r="AZ62" s="5">
        <f>IF(AP62=0,AZ61,SIGN(AP62))</f>
        <v/>
      </c>
      <c r="BA62" s="5">
        <f>BA61+IF(OR(AP62=0,AZ61=0),0,IF(SIGN(AP62)&lt;&gt;AZ61,1,0))</f>
        <v/>
      </c>
      <c r="BB62" s="5">
        <f>IF(AQ62=0,BB61,SIGN(AQ62))</f>
        <v/>
      </c>
      <c r="BC62" s="5">
        <f>BC61+IF(OR(AQ62=0,BB61=0),0,IF(SIGN(AQ62)&lt;&gt;BB61,1,0))</f>
        <v/>
      </c>
      <c r="BD62" s="5">
        <f>IF(AR62=0,BD61,SIGN(AR62))</f>
        <v/>
      </c>
      <c r="BE62" s="5">
        <f>BE61+IF(OR(AR62=0,BD61=0),0,IF(SIGN(AR62)&lt;&gt;BD61,1,0))</f>
        <v/>
      </c>
    </row>
    <row r="63">
      <c r="A63" s="5" t="n">
        <v>16</v>
      </c>
      <c r="B63" s="5">
        <f>AND(A63&gt;=1,A63&lt;=_zx5hja)</f>
        <v/>
      </c>
      <c r="C63" s="5">
        <f>IF(B63,(1-_zg5443)^(A63-1),0)</f>
        <v/>
      </c>
      <c r="D63" s="5">
        <f>_zt11ik*C63</f>
        <v/>
      </c>
      <c r="E63" s="5">
        <f>_z5gr99*C63</f>
        <v/>
      </c>
      <c r="F63" s="5">
        <f>_zk8d4f*D63+_zsw7bq*E63</f>
        <v/>
      </c>
      <c r="G63" s="5">
        <f>F63/(1+0.13)</f>
        <v/>
      </c>
      <c r="H63" s="5">
        <f>F63-G63</f>
        <v/>
      </c>
      <c r="I63" s="5">
        <f>IF(AND(B63,A63=_ztfkfy),_z67r2o*_z0m7ys,0)</f>
        <v/>
      </c>
      <c r="J63" s="5">
        <f>I63*0.13/(1+0.13)</f>
        <v/>
      </c>
      <c r="K63" s="5">
        <f>M62+J63</f>
        <v/>
      </c>
      <c r="L63" s="5">
        <f>MAX(0,H63-K63)</f>
        <v/>
      </c>
      <c r="M63" s="5">
        <f>MAX(0,K63-H63)</f>
        <v/>
      </c>
      <c r="N63" s="5">
        <f>L63*0.12</f>
        <v/>
      </c>
      <c r="O63" s="5">
        <f>S62</f>
        <v/>
      </c>
      <c r="P63" s="5">
        <f>IF(AND(B63,A63&lt;=_z2al7i),O63*_zyywx7,0)</f>
        <v/>
      </c>
      <c r="Q63" s="5">
        <f>IF(AND(B63,A63&lt;=_z2al7i),_zgsfrl,0)</f>
        <v/>
      </c>
      <c r="R63" s="5">
        <f>Q63-P63</f>
        <v/>
      </c>
      <c r="S63" s="5">
        <f>MAX(0,O63-R63)</f>
        <v/>
      </c>
      <c r="T63" s="5">
        <f>IF(AND(B63,A63&lt;=_zupe8l),_z0jo6h,0)</f>
        <v/>
      </c>
      <c r="U63" s="5">
        <f>IF((_zhsdpd="是"),IF(A63&lt;=3,0,IF(A63&lt;=6,0.5,1)),1)</f>
        <v/>
      </c>
      <c r="V63" s="5">
        <f>_zrzkf6*U63+(1-_zrzkf6)</f>
        <v/>
      </c>
      <c r="W63" s="5">
        <f>IF(B63,G63-_zkfhzg-N63-T63-I63,0)</f>
        <v/>
      </c>
      <c r="X63" s="5">
        <f>MAX(0,-W62)</f>
        <v/>
      </c>
      <c r="Y63" s="5">
        <f>MIN(X62,MAX(0,(AB62+AA62+Z62+Y62+X62)-AC62))</f>
        <v/>
      </c>
      <c r="Z63" s="5">
        <f>MIN(Y62,MAX(0,(AB62+AA62+Z62+Y62)-AC62))</f>
        <v/>
      </c>
      <c r="AA63" s="5">
        <f>MIN(Z62,MAX(0,(AB62+AA62+Z62)-AC62))</f>
        <v/>
      </c>
      <c r="AB63" s="5">
        <f>MIN(AA62,MAX(0,(AB62+AA62)-AC62))</f>
        <v/>
      </c>
      <c r="AC63" s="5">
        <f>MIN(MAX(W63,0),X63+Y63+Z63+AA63+AB63)</f>
        <v/>
      </c>
      <c r="AD63" s="5">
        <f>MAX(W63,0)-AC63</f>
        <v/>
      </c>
      <c r="AE63" s="5">
        <f>AD63*_zs8hxw*V63</f>
        <v/>
      </c>
      <c r="AF63" s="5">
        <f>IF(B63,W63-P63,0)</f>
        <v/>
      </c>
      <c r="AG63" s="5">
        <f>MAX(0,-AF62)</f>
        <v/>
      </c>
      <c r="AH63" s="5">
        <f>MIN(AG62,MAX(0,(AK62+AJ62+AI62+AH62+AG62)-AL62))</f>
        <v/>
      </c>
      <c r="AI63" s="5">
        <f>MIN(AH62,MAX(0,(AK62+AJ62+AI62+AH62)-AL62))</f>
        <v/>
      </c>
      <c r="AJ63" s="5">
        <f>MIN(AI62,MAX(0,(AK62+AJ62+AI62)-AL62))</f>
        <v/>
      </c>
      <c r="AK63" s="5">
        <f>MIN(AJ62,MAX(0,(AK62+AJ62)-AL62))</f>
        <v/>
      </c>
      <c r="AL63" s="5">
        <f>MIN(MAX(AF63,0),AG63+AH63+AI63+AJ63+AK63)</f>
        <v/>
      </c>
      <c r="AM63" s="5">
        <f>MAX(AF63,0)-AL63</f>
        <v/>
      </c>
      <c r="AN63" s="5">
        <f>AM63*_zs8hxw*V63</f>
        <v/>
      </c>
      <c r="AO63" s="5">
        <f>IF(A63=_zx5hja,_zk1wd3,0)</f>
        <v/>
      </c>
      <c r="AP63" s="5">
        <f>IF(B63,F63-_zkfhzg-L63-N63-I63+AO63,0)</f>
        <v/>
      </c>
      <c r="AQ63" s="5">
        <f>AP63-AE63</f>
        <v/>
      </c>
      <c r="AR63" s="5">
        <f>IF(B63,F63-_zkfhzg-L63-N63-I63-Q63-AN63+AO63-IF(AND(A63=_zx5hja,_z2al7i&gt;_zx5hja),S63,0),0)</f>
        <v/>
      </c>
      <c r="AS63" s="5">
        <f>AS62+AQ63</f>
        <v/>
      </c>
      <c r="AT63" s="5">
        <f>IF(AND(AS62&lt;0,AS63&gt;=0,AQ63&gt;0),1,0)</f>
        <v/>
      </c>
      <c r="AU63" s="5">
        <f>AQ63/(1+_zawtbl)^A63</f>
        <v/>
      </c>
      <c r="AV63" s="5">
        <f>AV62+AU63</f>
        <v/>
      </c>
      <c r="AW63" s="5">
        <f>IF(AND(AV62&lt;0,AV63&gt;=0,AU63&gt;0),1,0)</f>
        <v/>
      </c>
      <c r="AX63" s="5">
        <f>_zs8nv3*C63</f>
        <v/>
      </c>
      <c r="AY63" s="5">
        <f>IF(B63,_zkfhzg+I63-AO63,0)</f>
        <v/>
      </c>
      <c r="AZ63" s="5">
        <f>IF(AP63=0,AZ62,SIGN(AP63))</f>
        <v/>
      </c>
      <c r="BA63" s="5">
        <f>BA62+IF(OR(AP63=0,AZ62=0),0,IF(SIGN(AP63)&lt;&gt;AZ62,1,0))</f>
        <v/>
      </c>
      <c r="BB63" s="5">
        <f>IF(AQ63=0,BB62,SIGN(AQ63))</f>
        <v/>
      </c>
      <c r="BC63" s="5">
        <f>BC62+IF(OR(AQ63=0,BB62=0),0,IF(SIGN(AQ63)&lt;&gt;BB62,1,0))</f>
        <v/>
      </c>
      <c r="BD63" s="5">
        <f>IF(AR63=0,BD62,SIGN(AR63))</f>
        <v/>
      </c>
      <c r="BE63" s="5">
        <f>BE62+IF(OR(AR63=0,BD62=0),0,IF(SIGN(AR63)&lt;&gt;BD62,1,0))</f>
        <v/>
      </c>
    </row>
    <row r="64">
      <c r="A64" s="5" t="n">
        <v>17</v>
      </c>
      <c r="B64" s="5">
        <f>AND(A64&gt;=1,A64&lt;=_zx5hja)</f>
        <v/>
      </c>
      <c r="C64" s="5">
        <f>IF(B64,(1-_zg5443)^(A64-1),0)</f>
        <v/>
      </c>
      <c r="D64" s="5">
        <f>_zt11ik*C64</f>
        <v/>
      </c>
      <c r="E64" s="5">
        <f>_z5gr99*C64</f>
        <v/>
      </c>
      <c r="F64" s="5">
        <f>_zk8d4f*D64+_zsw7bq*E64</f>
        <v/>
      </c>
      <c r="G64" s="5">
        <f>F64/(1+0.13)</f>
        <v/>
      </c>
      <c r="H64" s="5">
        <f>F64-G64</f>
        <v/>
      </c>
      <c r="I64" s="5">
        <f>IF(AND(B64,A64=_ztfkfy),_z67r2o*_z0m7ys,0)</f>
        <v/>
      </c>
      <c r="J64" s="5">
        <f>I64*0.13/(1+0.13)</f>
        <v/>
      </c>
      <c r="K64" s="5">
        <f>M63+J64</f>
        <v/>
      </c>
      <c r="L64" s="5">
        <f>MAX(0,H64-K64)</f>
        <v/>
      </c>
      <c r="M64" s="5">
        <f>MAX(0,K64-H64)</f>
        <v/>
      </c>
      <c r="N64" s="5">
        <f>L64*0.12</f>
        <v/>
      </c>
      <c r="O64" s="5">
        <f>S63</f>
        <v/>
      </c>
      <c r="P64" s="5">
        <f>IF(AND(B64,A64&lt;=_z2al7i),O64*_zyywx7,0)</f>
        <v/>
      </c>
      <c r="Q64" s="5">
        <f>IF(AND(B64,A64&lt;=_z2al7i),_zgsfrl,0)</f>
        <v/>
      </c>
      <c r="R64" s="5">
        <f>Q64-P64</f>
        <v/>
      </c>
      <c r="S64" s="5">
        <f>MAX(0,O64-R64)</f>
        <v/>
      </c>
      <c r="T64" s="5">
        <f>IF(AND(B64,A64&lt;=_zupe8l),_z0jo6h,0)</f>
        <v/>
      </c>
      <c r="U64" s="5">
        <f>IF((_zhsdpd="是"),IF(A64&lt;=3,0,IF(A64&lt;=6,0.5,1)),1)</f>
        <v/>
      </c>
      <c r="V64" s="5">
        <f>_zrzkf6*U64+(1-_zrzkf6)</f>
        <v/>
      </c>
      <c r="W64" s="5">
        <f>IF(B64,G64-_zkfhzg-N64-T64-I64,0)</f>
        <v/>
      </c>
      <c r="X64" s="5">
        <f>MAX(0,-W63)</f>
        <v/>
      </c>
      <c r="Y64" s="5">
        <f>MIN(X63,MAX(0,(AB63+AA63+Z63+Y63+X63)-AC63))</f>
        <v/>
      </c>
      <c r="Z64" s="5">
        <f>MIN(Y63,MAX(0,(AB63+AA63+Z63+Y63)-AC63))</f>
        <v/>
      </c>
      <c r="AA64" s="5">
        <f>MIN(Z63,MAX(0,(AB63+AA63+Z63)-AC63))</f>
        <v/>
      </c>
      <c r="AB64" s="5">
        <f>MIN(AA63,MAX(0,(AB63+AA63)-AC63))</f>
        <v/>
      </c>
      <c r="AC64" s="5">
        <f>MIN(MAX(W64,0),X64+Y64+Z64+AA64+AB64)</f>
        <v/>
      </c>
      <c r="AD64" s="5">
        <f>MAX(W64,0)-AC64</f>
        <v/>
      </c>
      <c r="AE64" s="5">
        <f>AD64*_zs8hxw*V64</f>
        <v/>
      </c>
      <c r="AF64" s="5">
        <f>IF(B64,W64-P64,0)</f>
        <v/>
      </c>
      <c r="AG64" s="5">
        <f>MAX(0,-AF63)</f>
        <v/>
      </c>
      <c r="AH64" s="5">
        <f>MIN(AG63,MAX(0,(AK63+AJ63+AI63+AH63+AG63)-AL63))</f>
        <v/>
      </c>
      <c r="AI64" s="5">
        <f>MIN(AH63,MAX(0,(AK63+AJ63+AI63+AH63)-AL63))</f>
        <v/>
      </c>
      <c r="AJ64" s="5">
        <f>MIN(AI63,MAX(0,(AK63+AJ63+AI63)-AL63))</f>
        <v/>
      </c>
      <c r="AK64" s="5">
        <f>MIN(AJ63,MAX(0,(AK63+AJ63)-AL63))</f>
        <v/>
      </c>
      <c r="AL64" s="5">
        <f>MIN(MAX(AF64,0),AG64+AH64+AI64+AJ64+AK64)</f>
        <v/>
      </c>
      <c r="AM64" s="5">
        <f>MAX(AF64,0)-AL64</f>
        <v/>
      </c>
      <c r="AN64" s="5">
        <f>AM64*_zs8hxw*V64</f>
        <v/>
      </c>
      <c r="AO64" s="5">
        <f>IF(A64=_zx5hja,_zk1wd3,0)</f>
        <v/>
      </c>
      <c r="AP64" s="5">
        <f>IF(B64,F64-_zkfhzg-L64-N64-I64+AO64,0)</f>
        <v/>
      </c>
      <c r="AQ64" s="5">
        <f>AP64-AE64</f>
        <v/>
      </c>
      <c r="AR64" s="5">
        <f>IF(B64,F64-_zkfhzg-L64-N64-I64-Q64-AN64+AO64-IF(AND(A64=_zx5hja,_z2al7i&gt;_zx5hja),S64,0),0)</f>
        <v/>
      </c>
      <c r="AS64" s="5">
        <f>AS63+AQ64</f>
        <v/>
      </c>
      <c r="AT64" s="5">
        <f>IF(AND(AS63&lt;0,AS64&gt;=0,AQ64&gt;0),1,0)</f>
        <v/>
      </c>
      <c r="AU64" s="5">
        <f>AQ64/(1+_zawtbl)^A64</f>
        <v/>
      </c>
      <c r="AV64" s="5">
        <f>AV63+AU64</f>
        <v/>
      </c>
      <c r="AW64" s="5">
        <f>IF(AND(AV63&lt;0,AV64&gt;=0,AU64&gt;0),1,0)</f>
        <v/>
      </c>
      <c r="AX64" s="5">
        <f>_zs8nv3*C64</f>
        <v/>
      </c>
      <c r="AY64" s="5">
        <f>IF(B64,_zkfhzg+I64-AO64,0)</f>
        <v/>
      </c>
      <c r="AZ64" s="5">
        <f>IF(AP64=0,AZ63,SIGN(AP64))</f>
        <v/>
      </c>
      <c r="BA64" s="5">
        <f>BA63+IF(OR(AP64=0,AZ63=0),0,IF(SIGN(AP64)&lt;&gt;AZ63,1,0))</f>
        <v/>
      </c>
      <c r="BB64" s="5">
        <f>IF(AQ64=0,BB63,SIGN(AQ64))</f>
        <v/>
      </c>
      <c r="BC64" s="5">
        <f>BC63+IF(OR(AQ64=0,BB63=0),0,IF(SIGN(AQ64)&lt;&gt;BB63,1,0))</f>
        <v/>
      </c>
      <c r="BD64" s="5">
        <f>IF(AR64=0,BD63,SIGN(AR64))</f>
        <v/>
      </c>
      <c r="BE64" s="5">
        <f>BE63+IF(OR(AR64=0,BD63=0),0,IF(SIGN(AR64)&lt;&gt;BD63,1,0))</f>
        <v/>
      </c>
    </row>
    <row r="65">
      <c r="A65" s="5" t="n">
        <v>18</v>
      </c>
      <c r="B65" s="5">
        <f>AND(A65&gt;=1,A65&lt;=_zx5hja)</f>
        <v/>
      </c>
      <c r="C65" s="5">
        <f>IF(B65,(1-_zg5443)^(A65-1),0)</f>
        <v/>
      </c>
      <c r="D65" s="5">
        <f>_zt11ik*C65</f>
        <v/>
      </c>
      <c r="E65" s="5">
        <f>_z5gr99*C65</f>
        <v/>
      </c>
      <c r="F65" s="5">
        <f>_zk8d4f*D65+_zsw7bq*E65</f>
        <v/>
      </c>
      <c r="G65" s="5">
        <f>F65/(1+0.13)</f>
        <v/>
      </c>
      <c r="H65" s="5">
        <f>F65-G65</f>
        <v/>
      </c>
      <c r="I65" s="5">
        <f>IF(AND(B65,A65=_ztfkfy),_z67r2o*_z0m7ys,0)</f>
        <v/>
      </c>
      <c r="J65" s="5">
        <f>I65*0.13/(1+0.13)</f>
        <v/>
      </c>
      <c r="K65" s="5">
        <f>M64+J65</f>
        <v/>
      </c>
      <c r="L65" s="5">
        <f>MAX(0,H65-K65)</f>
        <v/>
      </c>
      <c r="M65" s="5">
        <f>MAX(0,K65-H65)</f>
        <v/>
      </c>
      <c r="N65" s="5">
        <f>L65*0.12</f>
        <v/>
      </c>
      <c r="O65" s="5">
        <f>S64</f>
        <v/>
      </c>
      <c r="P65" s="5">
        <f>IF(AND(B65,A65&lt;=_z2al7i),O65*_zyywx7,0)</f>
        <v/>
      </c>
      <c r="Q65" s="5">
        <f>IF(AND(B65,A65&lt;=_z2al7i),_zgsfrl,0)</f>
        <v/>
      </c>
      <c r="R65" s="5">
        <f>Q65-P65</f>
        <v/>
      </c>
      <c r="S65" s="5">
        <f>MAX(0,O65-R65)</f>
        <v/>
      </c>
      <c r="T65" s="5">
        <f>IF(AND(B65,A65&lt;=_zupe8l),_z0jo6h,0)</f>
        <v/>
      </c>
      <c r="U65" s="5">
        <f>IF((_zhsdpd="是"),IF(A65&lt;=3,0,IF(A65&lt;=6,0.5,1)),1)</f>
        <v/>
      </c>
      <c r="V65" s="5">
        <f>_zrzkf6*U65+(1-_zrzkf6)</f>
        <v/>
      </c>
      <c r="W65" s="5">
        <f>IF(B65,G65-_zkfhzg-N65-T65-I65,0)</f>
        <v/>
      </c>
      <c r="X65" s="5">
        <f>MAX(0,-W64)</f>
        <v/>
      </c>
      <c r="Y65" s="5">
        <f>MIN(X64,MAX(0,(AB64+AA64+Z64+Y64+X64)-AC64))</f>
        <v/>
      </c>
      <c r="Z65" s="5">
        <f>MIN(Y64,MAX(0,(AB64+AA64+Z64+Y64)-AC64))</f>
        <v/>
      </c>
      <c r="AA65" s="5">
        <f>MIN(Z64,MAX(0,(AB64+AA64+Z64)-AC64))</f>
        <v/>
      </c>
      <c r="AB65" s="5">
        <f>MIN(AA64,MAX(0,(AB64+AA64)-AC64))</f>
        <v/>
      </c>
      <c r="AC65" s="5">
        <f>MIN(MAX(W65,0),X65+Y65+Z65+AA65+AB65)</f>
        <v/>
      </c>
      <c r="AD65" s="5">
        <f>MAX(W65,0)-AC65</f>
        <v/>
      </c>
      <c r="AE65" s="5">
        <f>AD65*_zs8hxw*V65</f>
        <v/>
      </c>
      <c r="AF65" s="5">
        <f>IF(B65,W65-P65,0)</f>
        <v/>
      </c>
      <c r="AG65" s="5">
        <f>MAX(0,-AF64)</f>
        <v/>
      </c>
      <c r="AH65" s="5">
        <f>MIN(AG64,MAX(0,(AK64+AJ64+AI64+AH64+AG64)-AL64))</f>
        <v/>
      </c>
      <c r="AI65" s="5">
        <f>MIN(AH64,MAX(0,(AK64+AJ64+AI64+AH64)-AL64))</f>
        <v/>
      </c>
      <c r="AJ65" s="5">
        <f>MIN(AI64,MAX(0,(AK64+AJ64+AI64)-AL64))</f>
        <v/>
      </c>
      <c r="AK65" s="5">
        <f>MIN(AJ64,MAX(0,(AK64+AJ64)-AL64))</f>
        <v/>
      </c>
      <c r="AL65" s="5">
        <f>MIN(MAX(AF65,0),AG65+AH65+AI65+AJ65+AK65)</f>
        <v/>
      </c>
      <c r="AM65" s="5">
        <f>MAX(AF65,0)-AL65</f>
        <v/>
      </c>
      <c r="AN65" s="5">
        <f>AM65*_zs8hxw*V65</f>
        <v/>
      </c>
      <c r="AO65" s="5">
        <f>IF(A65=_zx5hja,_zk1wd3,0)</f>
        <v/>
      </c>
      <c r="AP65" s="5">
        <f>IF(B65,F65-_zkfhzg-L65-N65-I65+AO65,0)</f>
        <v/>
      </c>
      <c r="AQ65" s="5">
        <f>AP65-AE65</f>
        <v/>
      </c>
      <c r="AR65" s="5">
        <f>IF(B65,F65-_zkfhzg-L65-N65-I65-Q65-AN65+AO65-IF(AND(A65=_zx5hja,_z2al7i&gt;_zx5hja),S65,0),0)</f>
        <v/>
      </c>
      <c r="AS65" s="5">
        <f>AS64+AQ65</f>
        <v/>
      </c>
      <c r="AT65" s="5">
        <f>IF(AND(AS64&lt;0,AS65&gt;=0,AQ65&gt;0),1,0)</f>
        <v/>
      </c>
      <c r="AU65" s="5">
        <f>AQ65/(1+_zawtbl)^A65</f>
        <v/>
      </c>
      <c r="AV65" s="5">
        <f>AV64+AU65</f>
        <v/>
      </c>
      <c r="AW65" s="5">
        <f>IF(AND(AV64&lt;0,AV65&gt;=0,AU65&gt;0),1,0)</f>
        <v/>
      </c>
      <c r="AX65" s="5">
        <f>_zs8nv3*C65</f>
        <v/>
      </c>
      <c r="AY65" s="5">
        <f>IF(B65,_zkfhzg+I65-AO65,0)</f>
        <v/>
      </c>
      <c r="AZ65" s="5">
        <f>IF(AP65=0,AZ64,SIGN(AP65))</f>
        <v/>
      </c>
      <c r="BA65" s="5">
        <f>BA64+IF(OR(AP65=0,AZ64=0),0,IF(SIGN(AP65)&lt;&gt;AZ64,1,0))</f>
        <v/>
      </c>
      <c r="BB65" s="5">
        <f>IF(AQ65=0,BB64,SIGN(AQ65))</f>
        <v/>
      </c>
      <c r="BC65" s="5">
        <f>BC64+IF(OR(AQ65=0,BB64=0),0,IF(SIGN(AQ65)&lt;&gt;BB64,1,0))</f>
        <v/>
      </c>
      <c r="BD65" s="5">
        <f>IF(AR65=0,BD64,SIGN(AR65))</f>
        <v/>
      </c>
      <c r="BE65" s="5">
        <f>BE64+IF(OR(AR65=0,BD64=0),0,IF(SIGN(AR65)&lt;&gt;BD64,1,0))</f>
        <v/>
      </c>
    </row>
    <row r="66">
      <c r="A66" s="5" t="n">
        <v>19</v>
      </c>
      <c r="B66" s="5">
        <f>AND(A66&gt;=1,A66&lt;=_zx5hja)</f>
        <v/>
      </c>
      <c r="C66" s="5">
        <f>IF(B66,(1-_zg5443)^(A66-1),0)</f>
        <v/>
      </c>
      <c r="D66" s="5">
        <f>_zt11ik*C66</f>
        <v/>
      </c>
      <c r="E66" s="5">
        <f>_z5gr99*C66</f>
        <v/>
      </c>
      <c r="F66" s="5">
        <f>_zk8d4f*D66+_zsw7bq*E66</f>
        <v/>
      </c>
      <c r="G66" s="5">
        <f>F66/(1+0.13)</f>
        <v/>
      </c>
      <c r="H66" s="5">
        <f>F66-G66</f>
        <v/>
      </c>
      <c r="I66" s="5">
        <f>IF(AND(B66,A66=_ztfkfy),_z67r2o*_z0m7ys,0)</f>
        <v/>
      </c>
      <c r="J66" s="5">
        <f>I66*0.13/(1+0.13)</f>
        <v/>
      </c>
      <c r="K66" s="5">
        <f>M65+J66</f>
        <v/>
      </c>
      <c r="L66" s="5">
        <f>MAX(0,H66-K66)</f>
        <v/>
      </c>
      <c r="M66" s="5">
        <f>MAX(0,K66-H66)</f>
        <v/>
      </c>
      <c r="N66" s="5">
        <f>L66*0.12</f>
        <v/>
      </c>
      <c r="O66" s="5">
        <f>S65</f>
        <v/>
      </c>
      <c r="P66" s="5">
        <f>IF(AND(B66,A66&lt;=_z2al7i),O66*_zyywx7,0)</f>
        <v/>
      </c>
      <c r="Q66" s="5">
        <f>IF(AND(B66,A66&lt;=_z2al7i),_zgsfrl,0)</f>
        <v/>
      </c>
      <c r="R66" s="5">
        <f>Q66-P66</f>
        <v/>
      </c>
      <c r="S66" s="5">
        <f>MAX(0,O66-R66)</f>
        <v/>
      </c>
      <c r="T66" s="5">
        <f>IF(AND(B66,A66&lt;=_zupe8l),_z0jo6h,0)</f>
        <v/>
      </c>
      <c r="U66" s="5">
        <f>IF((_zhsdpd="是"),IF(A66&lt;=3,0,IF(A66&lt;=6,0.5,1)),1)</f>
        <v/>
      </c>
      <c r="V66" s="5">
        <f>_zrzkf6*U66+(1-_zrzkf6)</f>
        <v/>
      </c>
      <c r="W66" s="5">
        <f>IF(B66,G66-_zkfhzg-N66-T66-I66,0)</f>
        <v/>
      </c>
      <c r="X66" s="5">
        <f>MAX(0,-W65)</f>
        <v/>
      </c>
      <c r="Y66" s="5">
        <f>MIN(X65,MAX(0,(AB65+AA65+Z65+Y65+X65)-AC65))</f>
        <v/>
      </c>
      <c r="Z66" s="5">
        <f>MIN(Y65,MAX(0,(AB65+AA65+Z65+Y65)-AC65))</f>
        <v/>
      </c>
      <c r="AA66" s="5">
        <f>MIN(Z65,MAX(0,(AB65+AA65+Z65)-AC65))</f>
        <v/>
      </c>
      <c r="AB66" s="5">
        <f>MIN(AA65,MAX(0,(AB65+AA65)-AC65))</f>
        <v/>
      </c>
      <c r="AC66" s="5">
        <f>MIN(MAX(W66,0),X66+Y66+Z66+AA66+AB66)</f>
        <v/>
      </c>
      <c r="AD66" s="5">
        <f>MAX(W66,0)-AC66</f>
        <v/>
      </c>
      <c r="AE66" s="5">
        <f>AD66*_zs8hxw*V66</f>
        <v/>
      </c>
      <c r="AF66" s="5">
        <f>IF(B66,W66-P66,0)</f>
        <v/>
      </c>
      <c r="AG66" s="5">
        <f>MAX(0,-AF65)</f>
        <v/>
      </c>
      <c r="AH66" s="5">
        <f>MIN(AG65,MAX(0,(AK65+AJ65+AI65+AH65+AG65)-AL65))</f>
        <v/>
      </c>
      <c r="AI66" s="5">
        <f>MIN(AH65,MAX(0,(AK65+AJ65+AI65+AH65)-AL65))</f>
        <v/>
      </c>
      <c r="AJ66" s="5">
        <f>MIN(AI65,MAX(0,(AK65+AJ65+AI65)-AL65))</f>
        <v/>
      </c>
      <c r="AK66" s="5">
        <f>MIN(AJ65,MAX(0,(AK65+AJ65)-AL65))</f>
        <v/>
      </c>
      <c r="AL66" s="5">
        <f>MIN(MAX(AF66,0),AG66+AH66+AI66+AJ66+AK66)</f>
        <v/>
      </c>
      <c r="AM66" s="5">
        <f>MAX(AF66,0)-AL66</f>
        <v/>
      </c>
      <c r="AN66" s="5">
        <f>AM66*_zs8hxw*V66</f>
        <v/>
      </c>
      <c r="AO66" s="5">
        <f>IF(A66=_zx5hja,_zk1wd3,0)</f>
        <v/>
      </c>
      <c r="AP66" s="5">
        <f>IF(B66,F66-_zkfhzg-L66-N66-I66+AO66,0)</f>
        <v/>
      </c>
      <c r="AQ66" s="5">
        <f>AP66-AE66</f>
        <v/>
      </c>
      <c r="AR66" s="5">
        <f>IF(B66,F66-_zkfhzg-L66-N66-I66-Q66-AN66+AO66-IF(AND(A66=_zx5hja,_z2al7i&gt;_zx5hja),S66,0),0)</f>
        <v/>
      </c>
      <c r="AS66" s="5">
        <f>AS65+AQ66</f>
        <v/>
      </c>
      <c r="AT66" s="5">
        <f>IF(AND(AS65&lt;0,AS66&gt;=0,AQ66&gt;0),1,0)</f>
        <v/>
      </c>
      <c r="AU66" s="5">
        <f>AQ66/(1+_zawtbl)^A66</f>
        <v/>
      </c>
      <c r="AV66" s="5">
        <f>AV65+AU66</f>
        <v/>
      </c>
      <c r="AW66" s="5">
        <f>IF(AND(AV65&lt;0,AV66&gt;=0,AU66&gt;0),1,0)</f>
        <v/>
      </c>
      <c r="AX66" s="5">
        <f>_zs8nv3*C66</f>
        <v/>
      </c>
      <c r="AY66" s="5">
        <f>IF(B66,_zkfhzg+I66-AO66,0)</f>
        <v/>
      </c>
      <c r="AZ66" s="5">
        <f>IF(AP66=0,AZ65,SIGN(AP66))</f>
        <v/>
      </c>
      <c r="BA66" s="5">
        <f>BA65+IF(OR(AP66=0,AZ65=0),0,IF(SIGN(AP66)&lt;&gt;AZ65,1,0))</f>
        <v/>
      </c>
      <c r="BB66" s="5">
        <f>IF(AQ66=0,BB65,SIGN(AQ66))</f>
        <v/>
      </c>
      <c r="BC66" s="5">
        <f>BC65+IF(OR(AQ66=0,BB65=0),0,IF(SIGN(AQ66)&lt;&gt;BB65,1,0))</f>
        <v/>
      </c>
      <c r="BD66" s="5">
        <f>IF(AR66=0,BD65,SIGN(AR66))</f>
        <v/>
      </c>
      <c r="BE66" s="5">
        <f>BE65+IF(OR(AR66=0,BD65=0),0,IF(SIGN(AR66)&lt;&gt;BD65,1,0))</f>
        <v/>
      </c>
    </row>
    <row r="67">
      <c r="A67" s="5" t="n">
        <v>20</v>
      </c>
      <c r="B67" s="5">
        <f>AND(A67&gt;=1,A67&lt;=_zx5hja)</f>
        <v/>
      </c>
      <c r="C67" s="5">
        <f>IF(B67,(1-_zg5443)^(A67-1),0)</f>
        <v/>
      </c>
      <c r="D67" s="5">
        <f>_zt11ik*C67</f>
        <v/>
      </c>
      <c r="E67" s="5">
        <f>_z5gr99*C67</f>
        <v/>
      </c>
      <c r="F67" s="5">
        <f>_zk8d4f*D67+_zsw7bq*E67</f>
        <v/>
      </c>
      <c r="G67" s="5">
        <f>F67/(1+0.13)</f>
        <v/>
      </c>
      <c r="H67" s="5">
        <f>F67-G67</f>
        <v/>
      </c>
      <c r="I67" s="5">
        <f>IF(AND(B67,A67=_ztfkfy),_z67r2o*_z0m7ys,0)</f>
        <v/>
      </c>
      <c r="J67" s="5">
        <f>I67*0.13/(1+0.13)</f>
        <v/>
      </c>
      <c r="K67" s="5">
        <f>M66+J67</f>
        <v/>
      </c>
      <c r="L67" s="5">
        <f>MAX(0,H67-K67)</f>
        <v/>
      </c>
      <c r="M67" s="5">
        <f>MAX(0,K67-H67)</f>
        <v/>
      </c>
      <c r="N67" s="5">
        <f>L67*0.12</f>
        <v/>
      </c>
      <c r="O67" s="5">
        <f>S66</f>
        <v/>
      </c>
      <c r="P67" s="5">
        <f>IF(AND(B67,A67&lt;=_z2al7i),O67*_zyywx7,0)</f>
        <v/>
      </c>
      <c r="Q67" s="5">
        <f>IF(AND(B67,A67&lt;=_z2al7i),_zgsfrl,0)</f>
        <v/>
      </c>
      <c r="R67" s="5">
        <f>Q67-P67</f>
        <v/>
      </c>
      <c r="S67" s="5">
        <f>MAX(0,O67-R67)</f>
        <v/>
      </c>
      <c r="T67" s="5">
        <f>IF(AND(B67,A67&lt;=_zupe8l),_z0jo6h,0)</f>
        <v/>
      </c>
      <c r="U67" s="5">
        <f>IF((_zhsdpd="是"),IF(A67&lt;=3,0,IF(A67&lt;=6,0.5,1)),1)</f>
        <v/>
      </c>
      <c r="V67" s="5">
        <f>_zrzkf6*U67+(1-_zrzkf6)</f>
        <v/>
      </c>
      <c r="W67" s="5">
        <f>IF(B67,G67-_zkfhzg-N67-T67-I67,0)</f>
        <v/>
      </c>
      <c r="X67" s="5">
        <f>MAX(0,-W66)</f>
        <v/>
      </c>
      <c r="Y67" s="5">
        <f>MIN(X66,MAX(0,(AB66+AA66+Z66+Y66+X66)-AC66))</f>
        <v/>
      </c>
      <c r="Z67" s="5">
        <f>MIN(Y66,MAX(0,(AB66+AA66+Z66+Y66)-AC66))</f>
        <v/>
      </c>
      <c r="AA67" s="5">
        <f>MIN(Z66,MAX(0,(AB66+AA66+Z66)-AC66))</f>
        <v/>
      </c>
      <c r="AB67" s="5">
        <f>MIN(AA66,MAX(0,(AB66+AA66)-AC66))</f>
        <v/>
      </c>
      <c r="AC67" s="5">
        <f>MIN(MAX(W67,0),X67+Y67+Z67+AA67+AB67)</f>
        <v/>
      </c>
      <c r="AD67" s="5">
        <f>MAX(W67,0)-AC67</f>
        <v/>
      </c>
      <c r="AE67" s="5">
        <f>AD67*_zs8hxw*V67</f>
        <v/>
      </c>
      <c r="AF67" s="5">
        <f>IF(B67,W67-P67,0)</f>
        <v/>
      </c>
      <c r="AG67" s="5">
        <f>MAX(0,-AF66)</f>
        <v/>
      </c>
      <c r="AH67" s="5">
        <f>MIN(AG66,MAX(0,(AK66+AJ66+AI66+AH66+AG66)-AL66))</f>
        <v/>
      </c>
      <c r="AI67" s="5">
        <f>MIN(AH66,MAX(0,(AK66+AJ66+AI66+AH66)-AL66))</f>
        <v/>
      </c>
      <c r="AJ67" s="5">
        <f>MIN(AI66,MAX(0,(AK66+AJ66+AI66)-AL66))</f>
        <v/>
      </c>
      <c r="AK67" s="5">
        <f>MIN(AJ66,MAX(0,(AK66+AJ66)-AL66))</f>
        <v/>
      </c>
      <c r="AL67" s="5">
        <f>MIN(MAX(AF67,0),AG67+AH67+AI67+AJ67+AK67)</f>
        <v/>
      </c>
      <c r="AM67" s="5">
        <f>MAX(AF67,0)-AL67</f>
        <v/>
      </c>
      <c r="AN67" s="5">
        <f>AM67*_zs8hxw*V67</f>
        <v/>
      </c>
      <c r="AO67" s="5">
        <f>IF(A67=_zx5hja,_zk1wd3,0)</f>
        <v/>
      </c>
      <c r="AP67" s="5">
        <f>IF(B67,F67-_zkfhzg-L67-N67-I67+AO67,0)</f>
        <v/>
      </c>
      <c r="AQ67" s="5">
        <f>AP67-AE67</f>
        <v/>
      </c>
      <c r="AR67" s="5">
        <f>IF(B67,F67-_zkfhzg-L67-N67-I67-Q67-AN67+AO67-IF(AND(A67=_zx5hja,_z2al7i&gt;_zx5hja),S67,0),0)</f>
        <v/>
      </c>
      <c r="AS67" s="5">
        <f>AS66+AQ67</f>
        <v/>
      </c>
      <c r="AT67" s="5">
        <f>IF(AND(AS66&lt;0,AS67&gt;=0,AQ67&gt;0),1,0)</f>
        <v/>
      </c>
      <c r="AU67" s="5">
        <f>AQ67/(1+_zawtbl)^A67</f>
        <v/>
      </c>
      <c r="AV67" s="5">
        <f>AV66+AU67</f>
        <v/>
      </c>
      <c r="AW67" s="5">
        <f>IF(AND(AV66&lt;0,AV67&gt;=0,AU67&gt;0),1,0)</f>
        <v/>
      </c>
      <c r="AX67" s="5">
        <f>_zs8nv3*C67</f>
        <v/>
      </c>
      <c r="AY67" s="5">
        <f>IF(B67,_zkfhzg+I67-AO67,0)</f>
        <v/>
      </c>
      <c r="AZ67" s="5">
        <f>IF(AP67=0,AZ66,SIGN(AP67))</f>
        <v/>
      </c>
      <c r="BA67" s="5">
        <f>BA66+IF(OR(AP67=0,AZ66=0),0,IF(SIGN(AP67)&lt;&gt;AZ66,1,0))</f>
        <v/>
      </c>
      <c r="BB67" s="5">
        <f>IF(AQ67=0,BB66,SIGN(AQ67))</f>
        <v/>
      </c>
      <c r="BC67" s="5">
        <f>BC66+IF(OR(AQ67=0,BB66=0),0,IF(SIGN(AQ67)&lt;&gt;BB66,1,0))</f>
        <v/>
      </c>
      <c r="BD67" s="5">
        <f>IF(AR67=0,BD66,SIGN(AR67))</f>
        <v/>
      </c>
      <c r="BE67" s="5">
        <f>BE66+IF(OR(AR67=0,BD66=0),0,IF(SIGN(AR67)&lt;&gt;BD66,1,0))</f>
        <v/>
      </c>
    </row>
    <row r="68">
      <c r="A68" s="5" t="n">
        <v>21</v>
      </c>
      <c r="B68" s="5">
        <f>AND(A68&gt;=1,A68&lt;=_zx5hja)</f>
        <v/>
      </c>
      <c r="C68" s="5">
        <f>IF(B68,(1-_zg5443)^(A68-1),0)</f>
        <v/>
      </c>
      <c r="D68" s="5">
        <f>_zt11ik*C68</f>
        <v/>
      </c>
      <c r="E68" s="5">
        <f>_z5gr99*C68</f>
        <v/>
      </c>
      <c r="F68" s="5">
        <f>_zk8d4f*D68+_zsw7bq*E68</f>
        <v/>
      </c>
      <c r="G68" s="5">
        <f>F68/(1+0.13)</f>
        <v/>
      </c>
      <c r="H68" s="5">
        <f>F68-G68</f>
        <v/>
      </c>
      <c r="I68" s="5">
        <f>IF(AND(B68,A68=_ztfkfy),_z67r2o*_z0m7ys,0)</f>
        <v/>
      </c>
      <c r="J68" s="5">
        <f>I68*0.13/(1+0.13)</f>
        <v/>
      </c>
      <c r="K68" s="5">
        <f>M67+J68</f>
        <v/>
      </c>
      <c r="L68" s="5">
        <f>MAX(0,H68-K68)</f>
        <v/>
      </c>
      <c r="M68" s="5">
        <f>MAX(0,K68-H68)</f>
        <v/>
      </c>
      <c r="N68" s="5">
        <f>L68*0.12</f>
        <v/>
      </c>
      <c r="O68" s="5">
        <f>S67</f>
        <v/>
      </c>
      <c r="P68" s="5">
        <f>IF(AND(B68,A68&lt;=_z2al7i),O68*_zyywx7,0)</f>
        <v/>
      </c>
      <c r="Q68" s="5">
        <f>IF(AND(B68,A68&lt;=_z2al7i),_zgsfrl,0)</f>
        <v/>
      </c>
      <c r="R68" s="5">
        <f>Q68-P68</f>
        <v/>
      </c>
      <c r="S68" s="5">
        <f>MAX(0,O68-R68)</f>
        <v/>
      </c>
      <c r="T68" s="5">
        <f>IF(AND(B68,A68&lt;=_zupe8l),_z0jo6h,0)</f>
        <v/>
      </c>
      <c r="U68" s="5">
        <f>IF((_zhsdpd="是"),IF(A68&lt;=3,0,IF(A68&lt;=6,0.5,1)),1)</f>
        <v/>
      </c>
      <c r="V68" s="5">
        <f>_zrzkf6*U68+(1-_zrzkf6)</f>
        <v/>
      </c>
      <c r="W68" s="5">
        <f>IF(B68,G68-_zkfhzg-N68-T68-I68,0)</f>
        <v/>
      </c>
      <c r="X68" s="5">
        <f>MAX(0,-W67)</f>
        <v/>
      </c>
      <c r="Y68" s="5">
        <f>MIN(X67,MAX(0,(AB67+AA67+Z67+Y67+X67)-AC67))</f>
        <v/>
      </c>
      <c r="Z68" s="5">
        <f>MIN(Y67,MAX(0,(AB67+AA67+Z67+Y67)-AC67))</f>
        <v/>
      </c>
      <c r="AA68" s="5">
        <f>MIN(Z67,MAX(0,(AB67+AA67+Z67)-AC67))</f>
        <v/>
      </c>
      <c r="AB68" s="5">
        <f>MIN(AA67,MAX(0,(AB67+AA67)-AC67))</f>
        <v/>
      </c>
      <c r="AC68" s="5">
        <f>MIN(MAX(W68,0),X68+Y68+Z68+AA68+AB68)</f>
        <v/>
      </c>
      <c r="AD68" s="5">
        <f>MAX(W68,0)-AC68</f>
        <v/>
      </c>
      <c r="AE68" s="5">
        <f>AD68*_zs8hxw*V68</f>
        <v/>
      </c>
      <c r="AF68" s="5">
        <f>IF(B68,W68-P68,0)</f>
        <v/>
      </c>
      <c r="AG68" s="5">
        <f>MAX(0,-AF67)</f>
        <v/>
      </c>
      <c r="AH68" s="5">
        <f>MIN(AG67,MAX(0,(AK67+AJ67+AI67+AH67+AG67)-AL67))</f>
        <v/>
      </c>
      <c r="AI68" s="5">
        <f>MIN(AH67,MAX(0,(AK67+AJ67+AI67+AH67)-AL67))</f>
        <v/>
      </c>
      <c r="AJ68" s="5">
        <f>MIN(AI67,MAX(0,(AK67+AJ67+AI67)-AL67))</f>
        <v/>
      </c>
      <c r="AK68" s="5">
        <f>MIN(AJ67,MAX(0,(AK67+AJ67)-AL67))</f>
        <v/>
      </c>
      <c r="AL68" s="5">
        <f>MIN(MAX(AF68,0),AG68+AH68+AI68+AJ68+AK68)</f>
        <v/>
      </c>
      <c r="AM68" s="5">
        <f>MAX(AF68,0)-AL68</f>
        <v/>
      </c>
      <c r="AN68" s="5">
        <f>AM68*_zs8hxw*V68</f>
        <v/>
      </c>
      <c r="AO68" s="5">
        <f>IF(A68=_zx5hja,_zk1wd3,0)</f>
        <v/>
      </c>
      <c r="AP68" s="5">
        <f>IF(B68,F68-_zkfhzg-L68-N68-I68+AO68,0)</f>
        <v/>
      </c>
      <c r="AQ68" s="5">
        <f>AP68-AE68</f>
        <v/>
      </c>
      <c r="AR68" s="5">
        <f>IF(B68,F68-_zkfhzg-L68-N68-I68-Q68-AN68+AO68-IF(AND(A68=_zx5hja,_z2al7i&gt;_zx5hja),S68,0),0)</f>
        <v/>
      </c>
      <c r="AS68" s="5">
        <f>AS67+AQ68</f>
        <v/>
      </c>
      <c r="AT68" s="5">
        <f>IF(AND(AS67&lt;0,AS68&gt;=0,AQ68&gt;0),1,0)</f>
        <v/>
      </c>
      <c r="AU68" s="5">
        <f>AQ68/(1+_zawtbl)^A68</f>
        <v/>
      </c>
      <c r="AV68" s="5">
        <f>AV67+AU68</f>
        <v/>
      </c>
      <c r="AW68" s="5">
        <f>IF(AND(AV67&lt;0,AV68&gt;=0,AU68&gt;0),1,0)</f>
        <v/>
      </c>
      <c r="AX68" s="5">
        <f>_zs8nv3*C68</f>
        <v/>
      </c>
      <c r="AY68" s="5">
        <f>IF(B68,_zkfhzg+I68-AO68,0)</f>
        <v/>
      </c>
      <c r="AZ68" s="5">
        <f>IF(AP68=0,AZ67,SIGN(AP68))</f>
        <v/>
      </c>
      <c r="BA68" s="5">
        <f>BA67+IF(OR(AP68=0,AZ67=0),0,IF(SIGN(AP68)&lt;&gt;AZ67,1,0))</f>
        <v/>
      </c>
      <c r="BB68" s="5">
        <f>IF(AQ68=0,BB67,SIGN(AQ68))</f>
        <v/>
      </c>
      <c r="BC68" s="5">
        <f>BC67+IF(OR(AQ68=0,BB67=0),0,IF(SIGN(AQ68)&lt;&gt;BB67,1,0))</f>
        <v/>
      </c>
      <c r="BD68" s="5">
        <f>IF(AR68=0,BD67,SIGN(AR68))</f>
        <v/>
      </c>
      <c r="BE68" s="5">
        <f>BE67+IF(OR(AR68=0,BD67=0),0,IF(SIGN(AR68)&lt;&gt;BD67,1,0))</f>
        <v/>
      </c>
    </row>
    <row r="69">
      <c r="A69" s="5" t="n">
        <v>22</v>
      </c>
      <c r="B69" s="5">
        <f>AND(A69&gt;=1,A69&lt;=_zx5hja)</f>
        <v/>
      </c>
      <c r="C69" s="5">
        <f>IF(B69,(1-_zg5443)^(A69-1),0)</f>
        <v/>
      </c>
      <c r="D69" s="5">
        <f>_zt11ik*C69</f>
        <v/>
      </c>
      <c r="E69" s="5">
        <f>_z5gr99*C69</f>
        <v/>
      </c>
      <c r="F69" s="5">
        <f>_zk8d4f*D69+_zsw7bq*E69</f>
        <v/>
      </c>
      <c r="G69" s="5">
        <f>F69/(1+0.13)</f>
        <v/>
      </c>
      <c r="H69" s="5">
        <f>F69-G69</f>
        <v/>
      </c>
      <c r="I69" s="5">
        <f>IF(AND(B69,A69=_ztfkfy),_z67r2o*_z0m7ys,0)</f>
        <v/>
      </c>
      <c r="J69" s="5">
        <f>I69*0.13/(1+0.13)</f>
        <v/>
      </c>
      <c r="K69" s="5">
        <f>M68+J69</f>
        <v/>
      </c>
      <c r="L69" s="5">
        <f>MAX(0,H69-K69)</f>
        <v/>
      </c>
      <c r="M69" s="5">
        <f>MAX(0,K69-H69)</f>
        <v/>
      </c>
      <c r="N69" s="5">
        <f>L69*0.12</f>
        <v/>
      </c>
      <c r="O69" s="5">
        <f>S68</f>
        <v/>
      </c>
      <c r="P69" s="5">
        <f>IF(AND(B69,A69&lt;=_z2al7i),O69*_zyywx7,0)</f>
        <v/>
      </c>
      <c r="Q69" s="5">
        <f>IF(AND(B69,A69&lt;=_z2al7i),_zgsfrl,0)</f>
        <v/>
      </c>
      <c r="R69" s="5">
        <f>Q69-P69</f>
        <v/>
      </c>
      <c r="S69" s="5">
        <f>MAX(0,O69-R69)</f>
        <v/>
      </c>
      <c r="T69" s="5">
        <f>IF(AND(B69,A69&lt;=_zupe8l),_z0jo6h,0)</f>
        <v/>
      </c>
      <c r="U69" s="5">
        <f>IF((_zhsdpd="是"),IF(A69&lt;=3,0,IF(A69&lt;=6,0.5,1)),1)</f>
        <v/>
      </c>
      <c r="V69" s="5">
        <f>_zrzkf6*U69+(1-_zrzkf6)</f>
        <v/>
      </c>
      <c r="W69" s="5">
        <f>IF(B69,G69-_zkfhzg-N69-T69-I69,0)</f>
        <v/>
      </c>
      <c r="X69" s="5">
        <f>MAX(0,-W68)</f>
        <v/>
      </c>
      <c r="Y69" s="5">
        <f>MIN(X68,MAX(0,(AB68+AA68+Z68+Y68+X68)-AC68))</f>
        <v/>
      </c>
      <c r="Z69" s="5">
        <f>MIN(Y68,MAX(0,(AB68+AA68+Z68+Y68)-AC68))</f>
        <v/>
      </c>
      <c r="AA69" s="5">
        <f>MIN(Z68,MAX(0,(AB68+AA68+Z68)-AC68))</f>
        <v/>
      </c>
      <c r="AB69" s="5">
        <f>MIN(AA68,MAX(0,(AB68+AA68)-AC68))</f>
        <v/>
      </c>
      <c r="AC69" s="5">
        <f>MIN(MAX(W69,0),X69+Y69+Z69+AA69+AB69)</f>
        <v/>
      </c>
      <c r="AD69" s="5">
        <f>MAX(W69,0)-AC69</f>
        <v/>
      </c>
      <c r="AE69" s="5">
        <f>AD69*_zs8hxw*V69</f>
        <v/>
      </c>
      <c r="AF69" s="5">
        <f>IF(B69,W69-P69,0)</f>
        <v/>
      </c>
      <c r="AG69" s="5">
        <f>MAX(0,-AF68)</f>
        <v/>
      </c>
      <c r="AH69" s="5">
        <f>MIN(AG68,MAX(0,(AK68+AJ68+AI68+AH68+AG68)-AL68))</f>
        <v/>
      </c>
      <c r="AI69" s="5">
        <f>MIN(AH68,MAX(0,(AK68+AJ68+AI68+AH68)-AL68))</f>
        <v/>
      </c>
      <c r="AJ69" s="5">
        <f>MIN(AI68,MAX(0,(AK68+AJ68+AI68)-AL68))</f>
        <v/>
      </c>
      <c r="AK69" s="5">
        <f>MIN(AJ68,MAX(0,(AK68+AJ68)-AL68))</f>
        <v/>
      </c>
      <c r="AL69" s="5">
        <f>MIN(MAX(AF69,0),AG69+AH69+AI69+AJ69+AK69)</f>
        <v/>
      </c>
      <c r="AM69" s="5">
        <f>MAX(AF69,0)-AL69</f>
        <v/>
      </c>
      <c r="AN69" s="5">
        <f>AM69*_zs8hxw*V69</f>
        <v/>
      </c>
      <c r="AO69" s="5">
        <f>IF(A69=_zx5hja,_zk1wd3,0)</f>
        <v/>
      </c>
      <c r="AP69" s="5">
        <f>IF(B69,F69-_zkfhzg-L69-N69-I69+AO69,0)</f>
        <v/>
      </c>
      <c r="AQ69" s="5">
        <f>AP69-AE69</f>
        <v/>
      </c>
      <c r="AR69" s="5">
        <f>IF(B69,F69-_zkfhzg-L69-N69-I69-Q69-AN69+AO69-IF(AND(A69=_zx5hja,_z2al7i&gt;_zx5hja),S69,0),0)</f>
        <v/>
      </c>
      <c r="AS69" s="5">
        <f>AS68+AQ69</f>
        <v/>
      </c>
      <c r="AT69" s="5">
        <f>IF(AND(AS68&lt;0,AS69&gt;=0,AQ69&gt;0),1,0)</f>
        <v/>
      </c>
      <c r="AU69" s="5">
        <f>AQ69/(1+_zawtbl)^A69</f>
        <v/>
      </c>
      <c r="AV69" s="5">
        <f>AV68+AU69</f>
        <v/>
      </c>
      <c r="AW69" s="5">
        <f>IF(AND(AV68&lt;0,AV69&gt;=0,AU69&gt;0),1,0)</f>
        <v/>
      </c>
      <c r="AX69" s="5">
        <f>_zs8nv3*C69</f>
        <v/>
      </c>
      <c r="AY69" s="5">
        <f>IF(B69,_zkfhzg+I69-AO69,0)</f>
        <v/>
      </c>
      <c r="AZ69" s="5">
        <f>IF(AP69=0,AZ68,SIGN(AP69))</f>
        <v/>
      </c>
      <c r="BA69" s="5">
        <f>BA68+IF(OR(AP69=0,AZ68=0),0,IF(SIGN(AP69)&lt;&gt;AZ68,1,0))</f>
        <v/>
      </c>
      <c r="BB69" s="5">
        <f>IF(AQ69=0,BB68,SIGN(AQ69))</f>
        <v/>
      </c>
      <c r="BC69" s="5">
        <f>BC68+IF(OR(AQ69=0,BB68=0),0,IF(SIGN(AQ69)&lt;&gt;BB68,1,0))</f>
        <v/>
      </c>
      <c r="BD69" s="5">
        <f>IF(AR69=0,BD68,SIGN(AR69))</f>
        <v/>
      </c>
      <c r="BE69" s="5">
        <f>BE68+IF(OR(AR69=0,BD68=0),0,IF(SIGN(AR69)&lt;&gt;BD68,1,0))</f>
        <v/>
      </c>
    </row>
    <row r="70">
      <c r="A70" s="5" t="n">
        <v>23</v>
      </c>
      <c r="B70" s="5">
        <f>AND(A70&gt;=1,A70&lt;=_zx5hja)</f>
        <v/>
      </c>
      <c r="C70" s="5">
        <f>IF(B70,(1-_zg5443)^(A70-1),0)</f>
        <v/>
      </c>
      <c r="D70" s="5">
        <f>_zt11ik*C70</f>
        <v/>
      </c>
      <c r="E70" s="5">
        <f>_z5gr99*C70</f>
        <v/>
      </c>
      <c r="F70" s="5">
        <f>_zk8d4f*D70+_zsw7bq*E70</f>
        <v/>
      </c>
      <c r="G70" s="5">
        <f>F70/(1+0.13)</f>
        <v/>
      </c>
      <c r="H70" s="5">
        <f>F70-G70</f>
        <v/>
      </c>
      <c r="I70" s="5">
        <f>IF(AND(B70,A70=_ztfkfy),_z67r2o*_z0m7ys,0)</f>
        <v/>
      </c>
      <c r="J70" s="5">
        <f>I70*0.13/(1+0.13)</f>
        <v/>
      </c>
      <c r="K70" s="5">
        <f>M69+J70</f>
        <v/>
      </c>
      <c r="L70" s="5">
        <f>MAX(0,H70-K70)</f>
        <v/>
      </c>
      <c r="M70" s="5">
        <f>MAX(0,K70-H70)</f>
        <v/>
      </c>
      <c r="N70" s="5">
        <f>L70*0.12</f>
        <v/>
      </c>
      <c r="O70" s="5">
        <f>S69</f>
        <v/>
      </c>
      <c r="P70" s="5">
        <f>IF(AND(B70,A70&lt;=_z2al7i),O70*_zyywx7,0)</f>
        <v/>
      </c>
      <c r="Q70" s="5">
        <f>IF(AND(B70,A70&lt;=_z2al7i),_zgsfrl,0)</f>
        <v/>
      </c>
      <c r="R70" s="5">
        <f>Q70-P70</f>
        <v/>
      </c>
      <c r="S70" s="5">
        <f>MAX(0,O70-R70)</f>
        <v/>
      </c>
      <c r="T70" s="5">
        <f>IF(AND(B70,A70&lt;=_zupe8l),_z0jo6h,0)</f>
        <v/>
      </c>
      <c r="U70" s="5">
        <f>IF((_zhsdpd="是"),IF(A70&lt;=3,0,IF(A70&lt;=6,0.5,1)),1)</f>
        <v/>
      </c>
      <c r="V70" s="5">
        <f>_zrzkf6*U70+(1-_zrzkf6)</f>
        <v/>
      </c>
      <c r="W70" s="5">
        <f>IF(B70,G70-_zkfhzg-N70-T70-I70,0)</f>
        <v/>
      </c>
      <c r="X70" s="5">
        <f>MAX(0,-W69)</f>
        <v/>
      </c>
      <c r="Y70" s="5">
        <f>MIN(X69,MAX(0,(AB69+AA69+Z69+Y69+X69)-AC69))</f>
        <v/>
      </c>
      <c r="Z70" s="5">
        <f>MIN(Y69,MAX(0,(AB69+AA69+Z69+Y69)-AC69))</f>
        <v/>
      </c>
      <c r="AA70" s="5">
        <f>MIN(Z69,MAX(0,(AB69+AA69+Z69)-AC69))</f>
        <v/>
      </c>
      <c r="AB70" s="5">
        <f>MIN(AA69,MAX(0,(AB69+AA69)-AC69))</f>
        <v/>
      </c>
      <c r="AC70" s="5">
        <f>MIN(MAX(W70,0),X70+Y70+Z70+AA70+AB70)</f>
        <v/>
      </c>
      <c r="AD70" s="5">
        <f>MAX(W70,0)-AC70</f>
        <v/>
      </c>
      <c r="AE70" s="5">
        <f>AD70*_zs8hxw*V70</f>
        <v/>
      </c>
      <c r="AF70" s="5">
        <f>IF(B70,W70-P70,0)</f>
        <v/>
      </c>
      <c r="AG70" s="5">
        <f>MAX(0,-AF69)</f>
        <v/>
      </c>
      <c r="AH70" s="5">
        <f>MIN(AG69,MAX(0,(AK69+AJ69+AI69+AH69+AG69)-AL69))</f>
        <v/>
      </c>
      <c r="AI70" s="5">
        <f>MIN(AH69,MAX(0,(AK69+AJ69+AI69+AH69)-AL69))</f>
        <v/>
      </c>
      <c r="AJ70" s="5">
        <f>MIN(AI69,MAX(0,(AK69+AJ69+AI69)-AL69))</f>
        <v/>
      </c>
      <c r="AK70" s="5">
        <f>MIN(AJ69,MAX(0,(AK69+AJ69)-AL69))</f>
        <v/>
      </c>
      <c r="AL70" s="5">
        <f>MIN(MAX(AF70,0),AG70+AH70+AI70+AJ70+AK70)</f>
        <v/>
      </c>
      <c r="AM70" s="5">
        <f>MAX(AF70,0)-AL70</f>
        <v/>
      </c>
      <c r="AN70" s="5">
        <f>AM70*_zs8hxw*V70</f>
        <v/>
      </c>
      <c r="AO70" s="5">
        <f>IF(A70=_zx5hja,_zk1wd3,0)</f>
        <v/>
      </c>
      <c r="AP70" s="5">
        <f>IF(B70,F70-_zkfhzg-L70-N70-I70+AO70,0)</f>
        <v/>
      </c>
      <c r="AQ70" s="5">
        <f>AP70-AE70</f>
        <v/>
      </c>
      <c r="AR70" s="5">
        <f>IF(B70,F70-_zkfhzg-L70-N70-I70-Q70-AN70+AO70-IF(AND(A70=_zx5hja,_z2al7i&gt;_zx5hja),S70,0),0)</f>
        <v/>
      </c>
      <c r="AS70" s="5">
        <f>AS69+AQ70</f>
        <v/>
      </c>
      <c r="AT70" s="5">
        <f>IF(AND(AS69&lt;0,AS70&gt;=0,AQ70&gt;0),1,0)</f>
        <v/>
      </c>
      <c r="AU70" s="5">
        <f>AQ70/(1+_zawtbl)^A70</f>
        <v/>
      </c>
      <c r="AV70" s="5">
        <f>AV69+AU70</f>
        <v/>
      </c>
      <c r="AW70" s="5">
        <f>IF(AND(AV69&lt;0,AV70&gt;=0,AU70&gt;0),1,0)</f>
        <v/>
      </c>
      <c r="AX70" s="5">
        <f>_zs8nv3*C70</f>
        <v/>
      </c>
      <c r="AY70" s="5">
        <f>IF(B70,_zkfhzg+I70-AO70,0)</f>
        <v/>
      </c>
      <c r="AZ70" s="5">
        <f>IF(AP70=0,AZ69,SIGN(AP70))</f>
        <v/>
      </c>
      <c r="BA70" s="5">
        <f>BA69+IF(OR(AP70=0,AZ69=0),0,IF(SIGN(AP70)&lt;&gt;AZ69,1,0))</f>
        <v/>
      </c>
      <c r="BB70" s="5">
        <f>IF(AQ70=0,BB69,SIGN(AQ70))</f>
        <v/>
      </c>
      <c r="BC70" s="5">
        <f>BC69+IF(OR(AQ70=0,BB69=0),0,IF(SIGN(AQ70)&lt;&gt;BB69,1,0))</f>
        <v/>
      </c>
      <c r="BD70" s="5">
        <f>IF(AR70=0,BD69,SIGN(AR70))</f>
        <v/>
      </c>
      <c r="BE70" s="5">
        <f>BE69+IF(OR(AR70=0,BD69=0),0,IF(SIGN(AR70)&lt;&gt;BD69,1,0))</f>
        <v/>
      </c>
    </row>
    <row r="71">
      <c r="A71" s="5" t="n">
        <v>24</v>
      </c>
      <c r="B71" s="5">
        <f>AND(A71&gt;=1,A71&lt;=_zx5hja)</f>
        <v/>
      </c>
      <c r="C71" s="5">
        <f>IF(B71,(1-_zg5443)^(A71-1),0)</f>
        <v/>
      </c>
      <c r="D71" s="5">
        <f>_zt11ik*C71</f>
        <v/>
      </c>
      <c r="E71" s="5">
        <f>_z5gr99*C71</f>
        <v/>
      </c>
      <c r="F71" s="5">
        <f>_zk8d4f*D71+_zsw7bq*E71</f>
        <v/>
      </c>
      <c r="G71" s="5">
        <f>F71/(1+0.13)</f>
        <v/>
      </c>
      <c r="H71" s="5">
        <f>F71-G71</f>
        <v/>
      </c>
      <c r="I71" s="5">
        <f>IF(AND(B71,A71=_ztfkfy),_z67r2o*_z0m7ys,0)</f>
        <v/>
      </c>
      <c r="J71" s="5">
        <f>I71*0.13/(1+0.13)</f>
        <v/>
      </c>
      <c r="K71" s="5">
        <f>M70+J71</f>
        <v/>
      </c>
      <c r="L71" s="5">
        <f>MAX(0,H71-K71)</f>
        <v/>
      </c>
      <c r="M71" s="5">
        <f>MAX(0,K71-H71)</f>
        <v/>
      </c>
      <c r="N71" s="5">
        <f>L71*0.12</f>
        <v/>
      </c>
      <c r="O71" s="5">
        <f>S70</f>
        <v/>
      </c>
      <c r="P71" s="5">
        <f>IF(AND(B71,A71&lt;=_z2al7i),O71*_zyywx7,0)</f>
        <v/>
      </c>
      <c r="Q71" s="5">
        <f>IF(AND(B71,A71&lt;=_z2al7i),_zgsfrl,0)</f>
        <v/>
      </c>
      <c r="R71" s="5">
        <f>Q71-P71</f>
        <v/>
      </c>
      <c r="S71" s="5">
        <f>MAX(0,O71-R71)</f>
        <v/>
      </c>
      <c r="T71" s="5">
        <f>IF(AND(B71,A71&lt;=_zupe8l),_z0jo6h,0)</f>
        <v/>
      </c>
      <c r="U71" s="5">
        <f>IF((_zhsdpd="是"),IF(A71&lt;=3,0,IF(A71&lt;=6,0.5,1)),1)</f>
        <v/>
      </c>
      <c r="V71" s="5">
        <f>_zrzkf6*U71+(1-_zrzkf6)</f>
        <v/>
      </c>
      <c r="W71" s="5">
        <f>IF(B71,G71-_zkfhzg-N71-T71-I71,0)</f>
        <v/>
      </c>
      <c r="X71" s="5">
        <f>MAX(0,-W70)</f>
        <v/>
      </c>
      <c r="Y71" s="5">
        <f>MIN(X70,MAX(0,(AB70+AA70+Z70+Y70+X70)-AC70))</f>
        <v/>
      </c>
      <c r="Z71" s="5">
        <f>MIN(Y70,MAX(0,(AB70+AA70+Z70+Y70)-AC70))</f>
        <v/>
      </c>
      <c r="AA71" s="5">
        <f>MIN(Z70,MAX(0,(AB70+AA70+Z70)-AC70))</f>
        <v/>
      </c>
      <c r="AB71" s="5">
        <f>MIN(AA70,MAX(0,(AB70+AA70)-AC70))</f>
        <v/>
      </c>
      <c r="AC71" s="5">
        <f>MIN(MAX(W71,0),X71+Y71+Z71+AA71+AB71)</f>
        <v/>
      </c>
      <c r="AD71" s="5">
        <f>MAX(W71,0)-AC71</f>
        <v/>
      </c>
      <c r="AE71" s="5">
        <f>AD71*_zs8hxw*V71</f>
        <v/>
      </c>
      <c r="AF71" s="5">
        <f>IF(B71,W71-P71,0)</f>
        <v/>
      </c>
      <c r="AG71" s="5">
        <f>MAX(0,-AF70)</f>
        <v/>
      </c>
      <c r="AH71" s="5">
        <f>MIN(AG70,MAX(0,(AK70+AJ70+AI70+AH70+AG70)-AL70))</f>
        <v/>
      </c>
      <c r="AI71" s="5">
        <f>MIN(AH70,MAX(0,(AK70+AJ70+AI70+AH70)-AL70))</f>
        <v/>
      </c>
      <c r="AJ71" s="5">
        <f>MIN(AI70,MAX(0,(AK70+AJ70+AI70)-AL70))</f>
        <v/>
      </c>
      <c r="AK71" s="5">
        <f>MIN(AJ70,MAX(0,(AK70+AJ70)-AL70))</f>
        <v/>
      </c>
      <c r="AL71" s="5">
        <f>MIN(MAX(AF71,0),AG71+AH71+AI71+AJ71+AK71)</f>
        <v/>
      </c>
      <c r="AM71" s="5">
        <f>MAX(AF71,0)-AL71</f>
        <v/>
      </c>
      <c r="AN71" s="5">
        <f>AM71*_zs8hxw*V71</f>
        <v/>
      </c>
      <c r="AO71" s="5">
        <f>IF(A71=_zx5hja,_zk1wd3,0)</f>
        <v/>
      </c>
      <c r="AP71" s="5">
        <f>IF(B71,F71-_zkfhzg-L71-N71-I71+AO71,0)</f>
        <v/>
      </c>
      <c r="AQ71" s="5">
        <f>AP71-AE71</f>
        <v/>
      </c>
      <c r="AR71" s="5">
        <f>IF(B71,F71-_zkfhzg-L71-N71-I71-Q71-AN71+AO71-IF(AND(A71=_zx5hja,_z2al7i&gt;_zx5hja),S71,0),0)</f>
        <v/>
      </c>
      <c r="AS71" s="5">
        <f>AS70+AQ71</f>
        <v/>
      </c>
      <c r="AT71" s="5">
        <f>IF(AND(AS70&lt;0,AS71&gt;=0,AQ71&gt;0),1,0)</f>
        <v/>
      </c>
      <c r="AU71" s="5">
        <f>AQ71/(1+_zawtbl)^A71</f>
        <v/>
      </c>
      <c r="AV71" s="5">
        <f>AV70+AU71</f>
        <v/>
      </c>
      <c r="AW71" s="5">
        <f>IF(AND(AV70&lt;0,AV71&gt;=0,AU71&gt;0),1,0)</f>
        <v/>
      </c>
      <c r="AX71" s="5">
        <f>_zs8nv3*C71</f>
        <v/>
      </c>
      <c r="AY71" s="5">
        <f>IF(B71,_zkfhzg+I71-AO71,0)</f>
        <v/>
      </c>
      <c r="AZ71" s="5">
        <f>IF(AP71=0,AZ70,SIGN(AP71))</f>
        <v/>
      </c>
      <c r="BA71" s="5">
        <f>BA70+IF(OR(AP71=0,AZ70=0),0,IF(SIGN(AP71)&lt;&gt;AZ70,1,0))</f>
        <v/>
      </c>
      <c r="BB71" s="5">
        <f>IF(AQ71=0,BB70,SIGN(AQ71))</f>
        <v/>
      </c>
      <c r="BC71" s="5">
        <f>BC70+IF(OR(AQ71=0,BB70=0),0,IF(SIGN(AQ71)&lt;&gt;BB70,1,0))</f>
        <v/>
      </c>
      <c r="BD71" s="5">
        <f>IF(AR71=0,BD70,SIGN(AR71))</f>
        <v/>
      </c>
      <c r="BE71" s="5">
        <f>BE70+IF(OR(AR71=0,BD70=0),0,IF(SIGN(AR71)&lt;&gt;BD70,1,0))</f>
        <v/>
      </c>
    </row>
    <row r="72">
      <c r="A72" s="5" t="n">
        <v>25</v>
      </c>
      <c r="B72" s="5">
        <f>AND(A72&gt;=1,A72&lt;=_zx5hja)</f>
        <v/>
      </c>
      <c r="C72" s="5">
        <f>IF(B72,(1-_zg5443)^(A72-1),0)</f>
        <v/>
      </c>
      <c r="D72" s="5">
        <f>_zt11ik*C72</f>
        <v/>
      </c>
      <c r="E72" s="5">
        <f>_z5gr99*C72</f>
        <v/>
      </c>
      <c r="F72" s="5">
        <f>_zk8d4f*D72+_zsw7bq*E72</f>
        <v/>
      </c>
      <c r="G72" s="5">
        <f>F72/(1+0.13)</f>
        <v/>
      </c>
      <c r="H72" s="5">
        <f>F72-G72</f>
        <v/>
      </c>
      <c r="I72" s="5">
        <f>IF(AND(B72,A72=_ztfkfy),_z67r2o*_z0m7ys,0)</f>
        <v/>
      </c>
      <c r="J72" s="5">
        <f>I72*0.13/(1+0.13)</f>
        <v/>
      </c>
      <c r="K72" s="5">
        <f>M71+J72</f>
        <v/>
      </c>
      <c r="L72" s="5">
        <f>MAX(0,H72-K72)</f>
        <v/>
      </c>
      <c r="M72" s="5">
        <f>MAX(0,K72-H72)</f>
        <v/>
      </c>
      <c r="N72" s="5">
        <f>L72*0.12</f>
        <v/>
      </c>
      <c r="O72" s="5">
        <f>S71</f>
        <v/>
      </c>
      <c r="P72" s="5">
        <f>IF(AND(B72,A72&lt;=_z2al7i),O72*_zyywx7,0)</f>
        <v/>
      </c>
      <c r="Q72" s="5">
        <f>IF(AND(B72,A72&lt;=_z2al7i),_zgsfrl,0)</f>
        <v/>
      </c>
      <c r="R72" s="5">
        <f>Q72-P72</f>
        <v/>
      </c>
      <c r="S72" s="5">
        <f>MAX(0,O72-R72)</f>
        <v/>
      </c>
      <c r="T72" s="5">
        <f>IF(AND(B72,A72&lt;=_zupe8l),_z0jo6h,0)</f>
        <v/>
      </c>
      <c r="U72" s="5">
        <f>IF((_zhsdpd="是"),IF(A72&lt;=3,0,IF(A72&lt;=6,0.5,1)),1)</f>
        <v/>
      </c>
      <c r="V72" s="5">
        <f>_zrzkf6*U72+(1-_zrzkf6)</f>
        <v/>
      </c>
      <c r="W72" s="5">
        <f>IF(B72,G72-_zkfhzg-N72-T72-I72,0)</f>
        <v/>
      </c>
      <c r="X72" s="5">
        <f>MAX(0,-W71)</f>
        <v/>
      </c>
      <c r="Y72" s="5">
        <f>MIN(X71,MAX(0,(AB71+AA71+Z71+Y71+X71)-AC71))</f>
        <v/>
      </c>
      <c r="Z72" s="5">
        <f>MIN(Y71,MAX(0,(AB71+AA71+Z71+Y71)-AC71))</f>
        <v/>
      </c>
      <c r="AA72" s="5">
        <f>MIN(Z71,MAX(0,(AB71+AA71+Z71)-AC71))</f>
        <v/>
      </c>
      <c r="AB72" s="5">
        <f>MIN(AA71,MAX(0,(AB71+AA71)-AC71))</f>
        <v/>
      </c>
      <c r="AC72" s="5">
        <f>MIN(MAX(W72,0),X72+Y72+Z72+AA72+AB72)</f>
        <v/>
      </c>
      <c r="AD72" s="5">
        <f>MAX(W72,0)-AC72</f>
        <v/>
      </c>
      <c r="AE72" s="5">
        <f>AD72*_zs8hxw*V72</f>
        <v/>
      </c>
      <c r="AF72" s="5">
        <f>IF(B72,W72-P72,0)</f>
        <v/>
      </c>
      <c r="AG72" s="5">
        <f>MAX(0,-AF71)</f>
        <v/>
      </c>
      <c r="AH72" s="5">
        <f>MIN(AG71,MAX(0,(AK71+AJ71+AI71+AH71+AG71)-AL71))</f>
        <v/>
      </c>
      <c r="AI72" s="5">
        <f>MIN(AH71,MAX(0,(AK71+AJ71+AI71+AH71)-AL71))</f>
        <v/>
      </c>
      <c r="AJ72" s="5">
        <f>MIN(AI71,MAX(0,(AK71+AJ71+AI71)-AL71))</f>
        <v/>
      </c>
      <c r="AK72" s="5">
        <f>MIN(AJ71,MAX(0,(AK71+AJ71)-AL71))</f>
        <v/>
      </c>
      <c r="AL72" s="5">
        <f>MIN(MAX(AF72,0),AG72+AH72+AI72+AJ72+AK72)</f>
        <v/>
      </c>
      <c r="AM72" s="5">
        <f>MAX(AF72,0)-AL72</f>
        <v/>
      </c>
      <c r="AN72" s="5">
        <f>AM72*_zs8hxw*V72</f>
        <v/>
      </c>
      <c r="AO72" s="5">
        <f>IF(A72=_zx5hja,_zk1wd3,0)</f>
        <v/>
      </c>
      <c r="AP72" s="5">
        <f>IF(B72,F72-_zkfhzg-L72-N72-I72+AO72,0)</f>
        <v/>
      </c>
      <c r="AQ72" s="5">
        <f>AP72-AE72</f>
        <v/>
      </c>
      <c r="AR72" s="5">
        <f>IF(B72,F72-_zkfhzg-L72-N72-I72-Q72-AN72+AO72-IF(AND(A72=_zx5hja,_z2al7i&gt;_zx5hja),S72,0),0)</f>
        <v/>
      </c>
      <c r="AS72" s="5">
        <f>AS71+AQ72</f>
        <v/>
      </c>
      <c r="AT72" s="5">
        <f>IF(AND(AS71&lt;0,AS72&gt;=0,AQ72&gt;0),1,0)</f>
        <v/>
      </c>
      <c r="AU72" s="5">
        <f>AQ72/(1+_zawtbl)^A72</f>
        <v/>
      </c>
      <c r="AV72" s="5">
        <f>AV71+AU72</f>
        <v/>
      </c>
      <c r="AW72" s="5">
        <f>IF(AND(AV71&lt;0,AV72&gt;=0,AU72&gt;0),1,0)</f>
        <v/>
      </c>
      <c r="AX72" s="5">
        <f>_zs8nv3*C72</f>
        <v/>
      </c>
      <c r="AY72" s="5">
        <f>IF(B72,_zkfhzg+I72-AO72,0)</f>
        <v/>
      </c>
      <c r="AZ72" s="5">
        <f>IF(AP72=0,AZ71,SIGN(AP72))</f>
        <v/>
      </c>
      <c r="BA72" s="5">
        <f>BA71+IF(OR(AP72=0,AZ71=0),0,IF(SIGN(AP72)&lt;&gt;AZ71,1,0))</f>
        <v/>
      </c>
      <c r="BB72" s="5">
        <f>IF(AQ72=0,BB71,SIGN(AQ72))</f>
        <v/>
      </c>
      <c r="BC72" s="5">
        <f>BC71+IF(OR(AQ72=0,BB71=0),0,IF(SIGN(AQ72)&lt;&gt;BB71,1,0))</f>
        <v/>
      </c>
      <c r="BD72" s="5">
        <f>IF(AR72=0,BD71,SIGN(AR72))</f>
        <v/>
      </c>
      <c r="BE72" s="5">
        <f>BE71+IF(OR(AR72=0,BD71=0),0,IF(SIGN(AR72)&lt;&gt;BD71,1,0))</f>
        <v/>
      </c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  <c r="K73" s="5" t="n"/>
      <c r="L73" s="5" t="n"/>
      <c r="M73" s="5" t="n"/>
      <c r="N73" s="5" t="n"/>
      <c r="O73" s="5" t="n"/>
      <c r="P73" s="5" t="n"/>
      <c r="Q73" s="5" t="n"/>
      <c r="R73" s="5" t="n"/>
      <c r="S73" s="5" t="n"/>
      <c r="T73" s="5" t="n"/>
      <c r="U73" s="5" t="n"/>
      <c r="V73" s="5" t="n"/>
      <c r="W73" s="5" t="n"/>
      <c r="X73" s="5" t="n"/>
      <c r="Y73" s="5" t="n"/>
      <c r="Z73" s="5" t="n"/>
      <c r="AA73" s="5" t="n"/>
      <c r="AB73" s="5" t="n"/>
      <c r="AC73" s="5" t="n"/>
      <c r="AD73" s="5" t="n"/>
      <c r="AE73" s="5" t="n"/>
      <c r="AF73" s="5" t="n"/>
      <c r="AG73" s="5" t="n"/>
      <c r="AH73" s="5" t="n"/>
      <c r="AI73" s="5" t="n"/>
      <c r="AJ73" s="5" t="n"/>
      <c r="AK73" s="5" t="n"/>
      <c r="AL73" s="5" t="n"/>
      <c r="AM73" s="5" t="n"/>
      <c r="AN73" s="5" t="n"/>
      <c r="AO73" s="5" t="n"/>
      <c r="AP73" s="5" t="n"/>
      <c r="AQ73" s="5" t="n"/>
      <c r="AR73" s="5" t="n"/>
      <c r="AS73" s="5" t="n"/>
      <c r="AT73" s="5" t="n"/>
      <c r="AU73" s="5" t="n"/>
      <c r="AV73" s="5" t="n"/>
      <c r="AW73" s="5" t="n"/>
      <c r="AX73" s="5" t="n"/>
      <c r="AY73" s="5" t="n"/>
      <c r="AZ73" s="5" t="n"/>
      <c r="BA73" s="5" t="n"/>
      <c r="BB73" s="5" t="n"/>
      <c r="BC73" s="5" t="n"/>
      <c r="BD73" s="5" t="n"/>
      <c r="BE73" s="5" t="n"/>
    </row>
    <row r="74">
      <c r="A74" s="5" t="inlineStr">
        <is>
          <t>chk_pre_lo</t>
        </is>
      </c>
      <c r="B74" s="5">
        <f>SUMPRODUCT(_zu5jm5,0.01^-_zmuh0g)</f>
        <v/>
      </c>
      <c r="C74" s="5" t="n"/>
      <c r="D74" s="5" t="n"/>
      <c r="E74" s="5" t="n"/>
      <c r="F74" s="5" t="n"/>
      <c r="G74" s="5" t="n"/>
      <c r="H74" s="5" t="n"/>
      <c r="I74" s="5" t="n"/>
      <c r="J74" s="5" t="n"/>
      <c r="K74" s="5" t="n"/>
      <c r="L74" s="5" t="n"/>
      <c r="M74" s="5" t="n"/>
      <c r="N74" s="5" t="n"/>
      <c r="O74" s="5" t="n"/>
      <c r="P74" s="5" t="n"/>
      <c r="Q74" s="5" t="n"/>
      <c r="R74" s="5" t="n"/>
      <c r="S74" s="5" t="n"/>
      <c r="T74" s="5" t="n"/>
      <c r="U74" s="5" t="n"/>
      <c r="V74" s="5" t="n"/>
      <c r="W74" s="5" t="n"/>
      <c r="X74" s="5" t="n"/>
      <c r="Y74" s="5" t="n"/>
      <c r="Z74" s="5" t="n"/>
      <c r="AA74" s="5" t="n"/>
      <c r="AB74" s="5" t="n"/>
      <c r="AC74" s="5" t="n"/>
      <c r="AD74" s="5" t="n"/>
      <c r="AE74" s="5" t="n"/>
      <c r="AF74" s="5" t="n"/>
      <c r="AG74" s="5" t="n"/>
      <c r="AH74" s="5" t="n"/>
      <c r="AI74" s="5" t="n"/>
      <c r="AJ74" s="5" t="n"/>
      <c r="AK74" s="5" t="n"/>
      <c r="AL74" s="5" t="n"/>
      <c r="AM74" s="5" t="n"/>
      <c r="AN74" s="5" t="n"/>
      <c r="AO74" s="5" t="n"/>
      <c r="AP74" s="5" t="n"/>
      <c r="AQ74" s="5" t="n"/>
      <c r="AR74" s="5" t="n"/>
      <c r="AS74" s="5" t="n"/>
      <c r="AT74" s="5" t="n"/>
      <c r="AU74" s="5" t="n"/>
      <c r="AV74" s="5" t="n"/>
      <c r="AW74" s="5" t="n"/>
      <c r="AX74" s="5" t="n"/>
      <c r="AY74" s="5" t="n"/>
      <c r="AZ74" s="5" t="n"/>
      <c r="BA74" s="5" t="n"/>
      <c r="BB74" s="5" t="n"/>
      <c r="BC74" s="5" t="n"/>
      <c r="BD74" s="5" t="n"/>
      <c r="BE74" s="5" t="n"/>
    </row>
    <row r="75">
      <c r="A75" s="5" t="inlineStr">
        <is>
          <t>chk_pre_hi</t>
        </is>
      </c>
      <c r="B75" s="5">
        <f>SUMPRODUCT(_zu5jm5,4^-_zmuh0g)</f>
        <v/>
      </c>
      <c r="C75" s="5" t="n"/>
      <c r="D75" s="5" t="n"/>
      <c r="E75" s="5" t="n"/>
      <c r="F75" s="5" t="n"/>
      <c r="G75" s="5" t="n"/>
      <c r="H75" s="5" t="n"/>
      <c r="I75" s="5" t="n"/>
      <c r="J75" s="5" t="n"/>
      <c r="K75" s="5" t="n"/>
      <c r="L75" s="5" t="n"/>
      <c r="M75" s="5" t="n"/>
      <c r="N75" s="5" t="n"/>
      <c r="O75" s="5" t="n"/>
      <c r="P75" s="5" t="n"/>
      <c r="Q75" s="5" t="n"/>
      <c r="R75" s="5" t="n"/>
      <c r="S75" s="5" t="n"/>
      <c r="T75" s="5" t="n"/>
      <c r="U75" s="5" t="n"/>
      <c r="V75" s="5" t="n"/>
      <c r="W75" s="5" t="n"/>
      <c r="X75" s="5" t="n"/>
      <c r="Y75" s="5" t="n"/>
      <c r="Z75" s="5" t="n"/>
      <c r="AA75" s="5" t="n"/>
      <c r="AB75" s="5" t="n"/>
      <c r="AC75" s="5" t="n"/>
      <c r="AD75" s="5" t="n"/>
      <c r="AE75" s="5" t="n"/>
      <c r="AF75" s="5" t="n"/>
      <c r="AG75" s="5" t="n"/>
      <c r="AH75" s="5" t="n"/>
      <c r="AI75" s="5" t="n"/>
      <c r="AJ75" s="5" t="n"/>
      <c r="AK75" s="5" t="n"/>
      <c r="AL75" s="5" t="n"/>
      <c r="AM75" s="5" t="n"/>
      <c r="AN75" s="5" t="n"/>
      <c r="AO75" s="5" t="n"/>
      <c r="AP75" s="5" t="n"/>
      <c r="AQ75" s="5" t="n"/>
      <c r="AR75" s="5" t="n"/>
      <c r="AS75" s="5" t="n"/>
      <c r="AT75" s="5" t="n"/>
      <c r="AU75" s="5" t="n"/>
      <c r="AV75" s="5" t="n"/>
      <c r="AW75" s="5" t="n"/>
      <c r="AX75" s="5" t="n"/>
      <c r="AY75" s="5" t="n"/>
      <c r="AZ75" s="5" t="n"/>
      <c r="BA75" s="5" t="n"/>
      <c r="BB75" s="5" t="n"/>
      <c r="BC75" s="5" t="n"/>
      <c r="BD75" s="5" t="n"/>
      <c r="BE75" s="5" t="n"/>
    </row>
    <row r="76">
      <c r="A76" s="5" t="inlineStr">
        <is>
          <t>chk_post_lo</t>
        </is>
      </c>
      <c r="B76" s="5">
        <f>SUMPRODUCT(_zzpzma,0.01^-_zmuh0g)</f>
        <v/>
      </c>
      <c r="C76" s="5" t="n"/>
      <c r="D76" s="5" t="n"/>
      <c r="E76" s="5" t="n"/>
      <c r="F76" s="5" t="n"/>
      <c r="G76" s="5" t="n"/>
      <c r="H76" s="5" t="n"/>
      <c r="I76" s="5" t="n"/>
      <c r="J76" s="5" t="n"/>
      <c r="K76" s="5" t="n"/>
      <c r="L76" s="5" t="n"/>
      <c r="M76" s="5" t="n"/>
      <c r="N76" s="5" t="n"/>
      <c r="O76" s="5" t="n"/>
      <c r="P76" s="5" t="n"/>
      <c r="Q76" s="5" t="n"/>
      <c r="R76" s="5" t="n"/>
      <c r="S76" s="5" t="n"/>
      <c r="T76" s="5" t="n"/>
      <c r="U76" s="5" t="n"/>
      <c r="V76" s="5" t="n"/>
      <c r="W76" s="5" t="n"/>
      <c r="X76" s="5" t="n"/>
      <c r="Y76" s="5" t="n"/>
      <c r="Z76" s="5" t="n"/>
      <c r="AA76" s="5" t="n"/>
      <c r="AB76" s="5" t="n"/>
      <c r="AC76" s="5" t="n"/>
      <c r="AD76" s="5" t="n"/>
      <c r="AE76" s="5" t="n"/>
      <c r="AF76" s="5" t="n"/>
      <c r="AG76" s="5" t="n"/>
      <c r="AH76" s="5" t="n"/>
      <c r="AI76" s="5" t="n"/>
      <c r="AJ76" s="5" t="n"/>
      <c r="AK76" s="5" t="n"/>
      <c r="AL76" s="5" t="n"/>
      <c r="AM76" s="5" t="n"/>
      <c r="AN76" s="5" t="n"/>
      <c r="AO76" s="5" t="n"/>
      <c r="AP76" s="5" t="n"/>
      <c r="AQ76" s="5" t="n"/>
      <c r="AR76" s="5" t="n"/>
      <c r="AS76" s="5" t="n"/>
      <c r="AT76" s="5" t="n"/>
      <c r="AU76" s="5" t="n"/>
      <c r="AV76" s="5" t="n"/>
      <c r="AW76" s="5" t="n"/>
      <c r="AX76" s="5" t="n"/>
      <c r="AY76" s="5" t="n"/>
      <c r="AZ76" s="5" t="n"/>
      <c r="BA76" s="5" t="n"/>
      <c r="BB76" s="5" t="n"/>
      <c r="BC76" s="5" t="n"/>
      <c r="BD76" s="5" t="n"/>
      <c r="BE76" s="5" t="n"/>
    </row>
    <row r="77">
      <c r="A77" s="5" t="inlineStr">
        <is>
          <t>chk_post_hi</t>
        </is>
      </c>
      <c r="B77" s="5">
        <f>SUMPRODUCT(_zzpzma,4^-_zmuh0g)</f>
        <v/>
      </c>
      <c r="C77" s="5" t="n"/>
      <c r="D77" s="5" t="n"/>
      <c r="E77" s="5" t="n"/>
      <c r="F77" s="5" t="n"/>
      <c r="G77" s="5" t="n"/>
      <c r="H77" s="5" t="n"/>
      <c r="I77" s="5" t="n"/>
      <c r="J77" s="5" t="n"/>
      <c r="K77" s="5" t="n"/>
      <c r="L77" s="5" t="n"/>
      <c r="M77" s="5" t="n"/>
      <c r="N77" s="5" t="n"/>
      <c r="O77" s="5" t="n"/>
      <c r="P77" s="5" t="n"/>
      <c r="Q77" s="5" t="n"/>
      <c r="R77" s="5" t="n"/>
      <c r="S77" s="5" t="n"/>
      <c r="T77" s="5" t="n"/>
      <c r="U77" s="5" t="n"/>
      <c r="V77" s="5" t="n"/>
      <c r="W77" s="5" t="n"/>
      <c r="X77" s="5" t="n"/>
      <c r="Y77" s="5" t="n"/>
      <c r="Z77" s="5" t="n"/>
      <c r="AA77" s="5" t="n"/>
      <c r="AB77" s="5" t="n"/>
      <c r="AC77" s="5" t="n"/>
      <c r="AD77" s="5" t="n"/>
      <c r="AE77" s="5" t="n"/>
      <c r="AF77" s="5" t="n"/>
      <c r="AG77" s="5" t="n"/>
      <c r="AH77" s="5" t="n"/>
      <c r="AI77" s="5" t="n"/>
      <c r="AJ77" s="5" t="n"/>
      <c r="AK77" s="5" t="n"/>
      <c r="AL77" s="5" t="n"/>
      <c r="AM77" s="5" t="n"/>
      <c r="AN77" s="5" t="n"/>
      <c r="AO77" s="5" t="n"/>
      <c r="AP77" s="5" t="n"/>
      <c r="AQ77" s="5" t="n"/>
      <c r="AR77" s="5" t="n"/>
      <c r="AS77" s="5" t="n"/>
      <c r="AT77" s="5" t="n"/>
      <c r="AU77" s="5" t="n"/>
      <c r="AV77" s="5" t="n"/>
      <c r="AW77" s="5" t="n"/>
      <c r="AX77" s="5" t="n"/>
      <c r="AY77" s="5" t="n"/>
      <c r="AZ77" s="5" t="n"/>
      <c r="BA77" s="5" t="n"/>
      <c r="BB77" s="5" t="n"/>
      <c r="BC77" s="5" t="n"/>
      <c r="BD77" s="5" t="n"/>
      <c r="BE77" s="5" t="n"/>
    </row>
    <row r="78">
      <c r="A78" s="5" t="inlineStr">
        <is>
          <t>chk_eq_lo</t>
        </is>
      </c>
      <c r="B78" s="5">
        <f>SUMPRODUCT(_z47e1n,0.01^-_zmuh0g)</f>
        <v/>
      </c>
      <c r="C78" s="5" t="n"/>
      <c r="D78" s="5" t="n"/>
      <c r="E78" s="5" t="n"/>
      <c r="F78" s="5" t="n"/>
      <c r="G78" s="5" t="n"/>
      <c r="H78" s="5" t="n"/>
      <c r="I78" s="5" t="n"/>
      <c r="J78" s="5" t="n"/>
      <c r="K78" s="5" t="n"/>
      <c r="L78" s="5" t="n"/>
      <c r="M78" s="5" t="n"/>
      <c r="N78" s="5" t="n"/>
      <c r="O78" s="5" t="n"/>
      <c r="P78" s="5" t="n"/>
      <c r="Q78" s="5" t="n"/>
      <c r="R78" s="5" t="n"/>
      <c r="S78" s="5" t="n"/>
      <c r="T78" s="5" t="n"/>
      <c r="U78" s="5" t="n"/>
      <c r="V78" s="5" t="n"/>
      <c r="W78" s="5" t="n"/>
      <c r="X78" s="5" t="n"/>
      <c r="Y78" s="5" t="n"/>
      <c r="Z78" s="5" t="n"/>
      <c r="AA78" s="5" t="n"/>
      <c r="AB78" s="5" t="n"/>
      <c r="AC78" s="5" t="n"/>
      <c r="AD78" s="5" t="n"/>
      <c r="AE78" s="5" t="n"/>
      <c r="AF78" s="5" t="n"/>
      <c r="AG78" s="5" t="n"/>
      <c r="AH78" s="5" t="n"/>
      <c r="AI78" s="5" t="n"/>
      <c r="AJ78" s="5" t="n"/>
      <c r="AK78" s="5" t="n"/>
      <c r="AL78" s="5" t="n"/>
      <c r="AM78" s="5" t="n"/>
      <c r="AN78" s="5" t="n"/>
      <c r="AO78" s="5" t="n"/>
      <c r="AP78" s="5" t="n"/>
      <c r="AQ78" s="5" t="n"/>
      <c r="AR78" s="5" t="n"/>
      <c r="AS78" s="5" t="n"/>
      <c r="AT78" s="5" t="n"/>
      <c r="AU78" s="5" t="n"/>
      <c r="AV78" s="5" t="n"/>
      <c r="AW78" s="5" t="n"/>
      <c r="AX78" s="5" t="n"/>
      <c r="AY78" s="5" t="n"/>
      <c r="AZ78" s="5" t="n"/>
      <c r="BA78" s="5" t="n"/>
      <c r="BB78" s="5" t="n"/>
      <c r="BC78" s="5" t="n"/>
      <c r="BD78" s="5" t="n"/>
      <c r="BE78" s="5" t="n"/>
    </row>
    <row r="79">
      <c r="A79" s="5" t="inlineStr">
        <is>
          <t>chk_eq_hi</t>
        </is>
      </c>
      <c r="B79" s="5">
        <f>SUMPRODUCT(_z47e1n,4^-_zmuh0g)</f>
        <v/>
      </c>
      <c r="C79" s="5" t="n"/>
      <c r="D79" s="5" t="n"/>
      <c r="E79" s="5" t="n"/>
      <c r="F79" s="5" t="n"/>
      <c r="G79" s="5" t="n"/>
      <c r="H79" s="5" t="n"/>
      <c r="I79" s="5" t="n"/>
      <c r="J79" s="5" t="n"/>
      <c r="K79" s="5" t="n"/>
      <c r="L79" s="5" t="n"/>
      <c r="M79" s="5" t="n"/>
      <c r="N79" s="5" t="n"/>
      <c r="O79" s="5" t="n"/>
      <c r="P79" s="5" t="n"/>
      <c r="Q79" s="5" t="n"/>
      <c r="R79" s="5" t="n"/>
      <c r="S79" s="5" t="n"/>
      <c r="T79" s="5" t="n"/>
      <c r="U79" s="5" t="n"/>
      <c r="V79" s="5" t="n"/>
      <c r="W79" s="5" t="n"/>
      <c r="X79" s="5" t="n"/>
      <c r="Y79" s="5" t="n"/>
      <c r="Z79" s="5" t="n"/>
      <c r="AA79" s="5" t="n"/>
      <c r="AB79" s="5" t="n"/>
      <c r="AC79" s="5" t="n"/>
      <c r="AD79" s="5" t="n"/>
      <c r="AE79" s="5" t="n"/>
      <c r="AF79" s="5" t="n"/>
      <c r="AG79" s="5" t="n"/>
      <c r="AH79" s="5" t="n"/>
      <c r="AI79" s="5" t="n"/>
      <c r="AJ79" s="5" t="n"/>
      <c r="AK79" s="5" t="n"/>
      <c r="AL79" s="5" t="n"/>
      <c r="AM79" s="5" t="n"/>
      <c r="AN79" s="5" t="n"/>
      <c r="AO79" s="5" t="n"/>
      <c r="AP79" s="5" t="n"/>
      <c r="AQ79" s="5" t="n"/>
      <c r="AR79" s="5" t="n"/>
      <c r="AS79" s="5" t="n"/>
      <c r="AT79" s="5" t="n"/>
      <c r="AU79" s="5" t="n"/>
      <c r="AV79" s="5" t="n"/>
      <c r="AW79" s="5" t="n"/>
      <c r="AX79" s="5" t="n"/>
      <c r="AY79" s="5" t="n"/>
      <c r="AZ79" s="5" t="n"/>
      <c r="BA79" s="5" t="n"/>
      <c r="BB79" s="5" t="n"/>
      <c r="BC79" s="5" t="n"/>
      <c r="BD79" s="5" t="n"/>
      <c r="BE79" s="5" t="n"/>
    </row>
    <row r="80">
      <c r="A80" s="5" t="inlineStr">
        <is>
          <t>irr_pre</t>
        </is>
      </c>
      <c r="B80" s="5">
        <f>IF(_z7fj0w&gt;25,"运营期超25年·请用网页版测算",IF(_zsqbm8*_zzj3wj&gt;0,IF(BA72&gt;1,"非常规现金流，须人工复核","全周期未回收"),IFERROR(IRR(_zu5jm5),"—")))</f>
        <v/>
      </c>
      <c r="C80" s="5" t="n"/>
      <c r="D80" s="5" t="n"/>
      <c r="E80" s="5" t="n"/>
      <c r="F80" s="5" t="n"/>
      <c r="G80" s="5" t="n"/>
      <c r="H80" s="5" t="n"/>
      <c r="I80" s="5" t="n"/>
      <c r="J80" s="5" t="n"/>
      <c r="K80" s="5" t="n"/>
      <c r="L80" s="5" t="n"/>
      <c r="M80" s="5" t="n"/>
      <c r="N80" s="5" t="n"/>
      <c r="O80" s="5" t="n"/>
      <c r="P80" s="5" t="n"/>
      <c r="Q80" s="5" t="n"/>
      <c r="R80" s="5" t="n"/>
      <c r="S80" s="5" t="n"/>
      <c r="T80" s="5" t="n"/>
      <c r="U80" s="5" t="n"/>
      <c r="V80" s="5" t="n"/>
      <c r="W80" s="5" t="n"/>
      <c r="X80" s="5" t="n"/>
      <c r="Y80" s="5" t="n"/>
      <c r="Z80" s="5" t="n"/>
      <c r="AA80" s="5" t="n"/>
      <c r="AB80" s="5" t="n"/>
      <c r="AC80" s="5" t="n"/>
      <c r="AD80" s="5" t="n"/>
      <c r="AE80" s="5" t="n"/>
      <c r="AF80" s="5" t="n"/>
      <c r="AG80" s="5" t="n"/>
      <c r="AH80" s="5" t="n"/>
      <c r="AI80" s="5" t="n"/>
      <c r="AJ80" s="5" t="n"/>
      <c r="AK80" s="5" t="n"/>
      <c r="AL80" s="5" t="n"/>
      <c r="AM80" s="5" t="n"/>
      <c r="AN80" s="5" t="n"/>
      <c r="AO80" s="5" t="n"/>
      <c r="AP80" s="5" t="n"/>
      <c r="AQ80" s="5" t="n"/>
      <c r="AR80" s="5" t="n"/>
      <c r="AS80" s="5" t="n"/>
      <c r="AT80" s="5" t="n"/>
      <c r="AU80" s="5" t="n"/>
      <c r="AV80" s="5" t="n"/>
      <c r="AW80" s="5" t="n"/>
      <c r="AX80" s="5" t="n"/>
      <c r="AY80" s="5" t="n"/>
      <c r="AZ80" s="5" t="n"/>
      <c r="BA80" s="5" t="n"/>
      <c r="BB80" s="5" t="n"/>
      <c r="BC80" s="5" t="n"/>
      <c r="BD80" s="5" t="n"/>
      <c r="BE80" s="5" t="n"/>
    </row>
    <row r="81">
      <c r="A81" s="5" t="inlineStr">
        <is>
          <t>irr_post</t>
        </is>
      </c>
      <c r="B81" s="5">
        <f>IF(_z7fj0w&gt;25,"运营期超25年·请用网页版测算",IF(_zqsho0*_zpy13v&gt;0,IF(BC72&gt;1,"非常规现金流，须人工复核","全周期未回收"),IFERROR(IRR(_zzpzma),"—")))</f>
        <v/>
      </c>
      <c r="C81" s="5" t="n"/>
      <c r="D81" s="5" t="n"/>
      <c r="E81" s="5" t="n"/>
      <c r="F81" s="5" t="n"/>
      <c r="G81" s="5" t="n"/>
      <c r="H81" s="5" t="n"/>
      <c r="I81" s="5" t="n"/>
      <c r="J81" s="5" t="n"/>
      <c r="K81" s="5" t="n"/>
      <c r="L81" s="5" t="n"/>
      <c r="M81" s="5" t="n"/>
      <c r="N81" s="5" t="n"/>
      <c r="O81" s="5" t="n"/>
      <c r="P81" s="5" t="n"/>
      <c r="Q81" s="5" t="n"/>
      <c r="R81" s="5" t="n"/>
      <c r="S81" s="5" t="n"/>
      <c r="T81" s="5" t="n"/>
      <c r="U81" s="5" t="n"/>
      <c r="V81" s="5" t="n"/>
      <c r="W81" s="5" t="n"/>
      <c r="X81" s="5" t="n"/>
      <c r="Y81" s="5" t="n"/>
      <c r="Z81" s="5" t="n"/>
      <c r="AA81" s="5" t="n"/>
      <c r="AB81" s="5" t="n"/>
      <c r="AC81" s="5" t="n"/>
      <c r="AD81" s="5" t="n"/>
      <c r="AE81" s="5" t="n"/>
      <c r="AF81" s="5" t="n"/>
      <c r="AG81" s="5" t="n"/>
      <c r="AH81" s="5" t="n"/>
      <c r="AI81" s="5" t="n"/>
      <c r="AJ81" s="5" t="n"/>
      <c r="AK81" s="5" t="n"/>
      <c r="AL81" s="5" t="n"/>
      <c r="AM81" s="5" t="n"/>
      <c r="AN81" s="5" t="n"/>
      <c r="AO81" s="5" t="n"/>
      <c r="AP81" s="5" t="n"/>
      <c r="AQ81" s="5" t="n"/>
      <c r="AR81" s="5" t="n"/>
      <c r="AS81" s="5" t="n"/>
      <c r="AT81" s="5" t="n"/>
      <c r="AU81" s="5" t="n"/>
      <c r="AV81" s="5" t="n"/>
      <c r="AW81" s="5" t="n"/>
      <c r="AX81" s="5" t="n"/>
      <c r="AY81" s="5" t="n"/>
      <c r="AZ81" s="5" t="n"/>
      <c r="BA81" s="5" t="n"/>
      <c r="BB81" s="5" t="n"/>
      <c r="BC81" s="5" t="n"/>
      <c r="BD81" s="5" t="n"/>
      <c r="BE81" s="5" t="n"/>
    </row>
    <row r="82">
      <c r="A82" s="5" t="inlineStr">
        <is>
          <t>irr_eq</t>
        </is>
      </c>
      <c r="B82" s="5">
        <f>IF(_z7fj0w&gt;25,"运营期超25年·请用网页版测算",IF(_zxdbxd*_ztsxiq&gt;0,IF(BE72&gt;1,"非常规现金流，须人工复核","全周期未回收"),IFERROR(IRR(_z47e1n),"—")))</f>
        <v/>
      </c>
      <c r="C82" s="5" t="n"/>
      <c r="D82" s="5" t="n"/>
      <c r="E82" s="5" t="n"/>
      <c r="F82" s="5" t="n"/>
      <c r="G82" s="5" t="n"/>
      <c r="H82" s="5" t="n"/>
      <c r="I82" s="5" t="n"/>
      <c r="J82" s="5" t="n"/>
      <c r="K82" s="5" t="n"/>
      <c r="L82" s="5" t="n"/>
      <c r="M82" s="5" t="n"/>
      <c r="N82" s="5" t="n"/>
      <c r="O82" s="5" t="n"/>
      <c r="P82" s="5" t="n"/>
      <c r="Q82" s="5" t="n"/>
      <c r="R82" s="5" t="n"/>
      <c r="S82" s="5" t="n"/>
      <c r="T82" s="5" t="n"/>
      <c r="U82" s="5" t="n"/>
      <c r="V82" s="5" t="n"/>
      <c r="W82" s="5" t="n"/>
      <c r="X82" s="5" t="n"/>
      <c r="Y82" s="5" t="n"/>
      <c r="Z82" s="5" t="n"/>
      <c r="AA82" s="5" t="n"/>
      <c r="AB82" s="5" t="n"/>
      <c r="AC82" s="5" t="n"/>
      <c r="AD82" s="5" t="n"/>
      <c r="AE82" s="5" t="n"/>
      <c r="AF82" s="5" t="n"/>
      <c r="AG82" s="5" t="n"/>
      <c r="AH82" s="5" t="n"/>
      <c r="AI82" s="5" t="n"/>
      <c r="AJ82" s="5" t="n"/>
      <c r="AK82" s="5" t="n"/>
      <c r="AL82" s="5" t="n"/>
      <c r="AM82" s="5" t="n"/>
      <c r="AN82" s="5" t="n"/>
      <c r="AO82" s="5" t="n"/>
      <c r="AP82" s="5" t="n"/>
      <c r="AQ82" s="5" t="n"/>
      <c r="AR82" s="5" t="n"/>
      <c r="AS82" s="5" t="n"/>
      <c r="AT82" s="5" t="n"/>
      <c r="AU82" s="5" t="n"/>
      <c r="AV82" s="5" t="n"/>
      <c r="AW82" s="5" t="n"/>
      <c r="AX82" s="5" t="n"/>
      <c r="AY82" s="5" t="n"/>
      <c r="AZ82" s="5" t="n"/>
      <c r="BA82" s="5" t="n"/>
      <c r="BB82" s="5" t="n"/>
      <c r="BC82" s="5" t="n"/>
      <c r="BD82" s="5" t="n"/>
      <c r="BE82" s="5" t="n"/>
    </row>
    <row r="83">
      <c r="A83" s="5" t="inlineStr">
        <is>
          <t>npv</t>
        </is>
      </c>
      <c r="B83" s="5">
        <f>IF(_z7fj0w&gt;25,"运营期超25年·请用网页版测算",INDEX(_zzpzma,1)+NPV(_zawtbl,_zylg1g))</f>
        <v/>
      </c>
      <c r="C83" s="5" t="n"/>
      <c r="D83" s="5" t="n"/>
      <c r="E83" s="5" t="n"/>
      <c r="F83" s="5" t="n"/>
      <c r="G83" s="5" t="n"/>
      <c r="H83" s="5" t="n"/>
      <c r="I83" s="5" t="n"/>
      <c r="J83" s="5" t="n"/>
      <c r="K83" s="5" t="n"/>
      <c r="L83" s="5" t="n"/>
      <c r="M83" s="5" t="n"/>
      <c r="N83" s="5" t="n"/>
      <c r="O83" s="5" t="n"/>
      <c r="P83" s="5" t="n"/>
      <c r="Q83" s="5" t="n"/>
      <c r="R83" s="5" t="n"/>
      <c r="S83" s="5" t="n"/>
      <c r="T83" s="5" t="n"/>
      <c r="U83" s="5" t="n"/>
      <c r="V83" s="5" t="n"/>
      <c r="W83" s="5" t="n"/>
      <c r="X83" s="5" t="n"/>
      <c r="Y83" s="5" t="n"/>
      <c r="Z83" s="5" t="n"/>
      <c r="AA83" s="5" t="n"/>
      <c r="AB83" s="5" t="n"/>
      <c r="AC83" s="5" t="n"/>
      <c r="AD83" s="5" t="n"/>
      <c r="AE83" s="5" t="n"/>
      <c r="AF83" s="5" t="n"/>
      <c r="AG83" s="5" t="n"/>
      <c r="AH83" s="5" t="n"/>
      <c r="AI83" s="5" t="n"/>
      <c r="AJ83" s="5" t="n"/>
      <c r="AK83" s="5" t="n"/>
      <c r="AL83" s="5" t="n"/>
      <c r="AM83" s="5" t="n"/>
      <c r="AN83" s="5" t="n"/>
      <c r="AO83" s="5" t="n"/>
      <c r="AP83" s="5" t="n"/>
      <c r="AQ83" s="5" t="n"/>
      <c r="AR83" s="5" t="n"/>
      <c r="AS83" s="5" t="n"/>
      <c r="AT83" s="5" t="n"/>
      <c r="AU83" s="5" t="n"/>
      <c r="AV83" s="5" t="n"/>
      <c r="AW83" s="5" t="n"/>
      <c r="AX83" s="5" t="n"/>
      <c r="AY83" s="5" t="n"/>
      <c r="AZ83" s="5" t="n"/>
      <c r="BA83" s="5" t="n"/>
      <c r="BB83" s="5" t="n"/>
      <c r="BC83" s="5" t="n"/>
      <c r="BD83" s="5" t="n"/>
      <c r="BE83" s="5" t="n"/>
    </row>
    <row r="84">
      <c r="A84" s="5" t="inlineStr">
        <is>
          <t>payback_s</t>
        </is>
      </c>
      <c r="B84" s="5">
        <f>IF(_z7fj0w&gt;25,"运营期超25年·请用网页版测算",IFERROR(MATCH(1,_zqxysi,0)-2+ABS(INDEX(_zhb49w,MATCH(1,_zqxysi,0)-1))/INDEX(_zzpzma,MATCH(1,_zqxysi,0)),"超运营期"))</f>
        <v/>
      </c>
      <c r="C84" s="5" t="n"/>
      <c r="D84" s="5" t="n"/>
      <c r="E84" s="5" t="n"/>
      <c r="F84" s="5" t="n"/>
      <c r="G84" s="5" t="n"/>
      <c r="H84" s="5" t="n"/>
      <c r="I84" s="5" t="n"/>
      <c r="J84" s="5" t="n"/>
      <c r="K84" s="5" t="n"/>
      <c r="L84" s="5" t="n"/>
      <c r="M84" s="5" t="n"/>
      <c r="N84" s="5" t="n"/>
      <c r="O84" s="5" t="n"/>
      <c r="P84" s="5" t="n"/>
      <c r="Q84" s="5" t="n"/>
      <c r="R84" s="5" t="n"/>
      <c r="S84" s="5" t="n"/>
      <c r="T84" s="5" t="n"/>
      <c r="U84" s="5" t="n"/>
      <c r="V84" s="5" t="n"/>
      <c r="W84" s="5" t="n"/>
      <c r="X84" s="5" t="n"/>
      <c r="Y84" s="5" t="n"/>
      <c r="Z84" s="5" t="n"/>
      <c r="AA84" s="5" t="n"/>
      <c r="AB84" s="5" t="n"/>
      <c r="AC84" s="5" t="n"/>
      <c r="AD84" s="5" t="n"/>
      <c r="AE84" s="5" t="n"/>
      <c r="AF84" s="5" t="n"/>
      <c r="AG84" s="5" t="n"/>
      <c r="AH84" s="5" t="n"/>
      <c r="AI84" s="5" t="n"/>
      <c r="AJ84" s="5" t="n"/>
      <c r="AK84" s="5" t="n"/>
      <c r="AL84" s="5" t="n"/>
      <c r="AM84" s="5" t="n"/>
      <c r="AN84" s="5" t="n"/>
      <c r="AO84" s="5" t="n"/>
      <c r="AP84" s="5" t="n"/>
      <c r="AQ84" s="5" t="n"/>
      <c r="AR84" s="5" t="n"/>
      <c r="AS84" s="5" t="n"/>
      <c r="AT84" s="5" t="n"/>
      <c r="AU84" s="5" t="n"/>
      <c r="AV84" s="5" t="n"/>
      <c r="AW84" s="5" t="n"/>
      <c r="AX84" s="5" t="n"/>
      <c r="AY84" s="5" t="n"/>
      <c r="AZ84" s="5" t="n"/>
      <c r="BA84" s="5" t="n"/>
      <c r="BB84" s="5" t="n"/>
      <c r="BC84" s="5" t="n"/>
      <c r="BD84" s="5" t="n"/>
      <c r="BE84" s="5" t="n"/>
    </row>
    <row r="85">
      <c r="A85" s="5" t="inlineStr">
        <is>
          <t>payback_d</t>
        </is>
      </c>
      <c r="B85" s="5">
        <f>IF(_z7fj0w&gt;25,"运营期超25年·请用网页版测算",IFERROR(MATCH(1,_zcoe8g,0)-2+ABS(INDEX(_zn8bpc,MATCH(1,_zcoe8g,0)-1))/INDEX(_zd9fqm,MATCH(1,_zcoe8g,0)),"超运营期"))</f>
        <v/>
      </c>
      <c r="C85" s="5" t="n"/>
      <c r="D85" s="5" t="n"/>
      <c r="E85" s="5" t="n"/>
      <c r="F85" s="5" t="n"/>
      <c r="G85" s="5" t="n"/>
      <c r="H85" s="5" t="n"/>
      <c r="I85" s="5" t="n"/>
      <c r="J85" s="5" t="n"/>
      <c r="K85" s="5" t="n"/>
      <c r="L85" s="5" t="n"/>
      <c r="M85" s="5" t="n"/>
      <c r="N85" s="5" t="n"/>
      <c r="O85" s="5" t="n"/>
      <c r="P85" s="5" t="n"/>
      <c r="Q85" s="5" t="n"/>
      <c r="R85" s="5" t="n"/>
      <c r="S85" s="5" t="n"/>
      <c r="T85" s="5" t="n"/>
      <c r="U85" s="5" t="n"/>
      <c r="V85" s="5" t="n"/>
      <c r="W85" s="5" t="n"/>
      <c r="X85" s="5" t="n"/>
      <c r="Y85" s="5" t="n"/>
      <c r="Z85" s="5" t="n"/>
      <c r="AA85" s="5" t="n"/>
      <c r="AB85" s="5" t="n"/>
      <c r="AC85" s="5" t="n"/>
      <c r="AD85" s="5" t="n"/>
      <c r="AE85" s="5" t="n"/>
      <c r="AF85" s="5" t="n"/>
      <c r="AG85" s="5" t="n"/>
      <c r="AH85" s="5" t="n"/>
      <c r="AI85" s="5" t="n"/>
      <c r="AJ85" s="5" t="n"/>
      <c r="AK85" s="5" t="n"/>
      <c r="AL85" s="5" t="n"/>
      <c r="AM85" s="5" t="n"/>
      <c r="AN85" s="5" t="n"/>
      <c r="AO85" s="5" t="n"/>
      <c r="AP85" s="5" t="n"/>
      <c r="AQ85" s="5" t="n"/>
      <c r="AR85" s="5" t="n"/>
      <c r="AS85" s="5" t="n"/>
      <c r="AT85" s="5" t="n"/>
      <c r="AU85" s="5" t="n"/>
      <c r="AV85" s="5" t="n"/>
      <c r="AW85" s="5" t="n"/>
      <c r="AX85" s="5" t="n"/>
      <c r="AY85" s="5" t="n"/>
      <c r="AZ85" s="5" t="n"/>
      <c r="BA85" s="5" t="n"/>
      <c r="BB85" s="5" t="n"/>
      <c r="BC85" s="5" t="n"/>
      <c r="BD85" s="5" t="n"/>
      <c r="BE85" s="5" t="n"/>
    </row>
    <row r="86">
      <c r="A86" s="5" t="inlineStr">
        <is>
          <t>lcoe</t>
        </is>
      </c>
      <c r="B86" s="5">
        <f>IF(_z7fj0w&gt;25,"运营期超25年·请用网页版测算",IF(NPV(_zawtbl,_zs6qdd)&gt;0,(_zbb0h1+NPV(_zawtbl,_zzvb05))/NPV(_zawtbl,_zs6qdd),"—"))</f>
        <v/>
      </c>
      <c r="C86" s="5" t="n"/>
      <c r="D86" s="5" t="n"/>
      <c r="E86" s="5" t="n"/>
      <c r="F86" s="5" t="n"/>
      <c r="G86" s="5" t="n"/>
      <c r="H86" s="5" t="n"/>
      <c r="I86" s="5" t="n"/>
      <c r="J86" s="5" t="n"/>
      <c r="K86" s="5" t="n"/>
      <c r="L86" s="5" t="n"/>
      <c r="M86" s="5" t="n"/>
      <c r="N86" s="5" t="n"/>
      <c r="O86" s="5" t="n"/>
      <c r="P86" s="5" t="n"/>
      <c r="Q86" s="5" t="n"/>
      <c r="R86" s="5" t="n"/>
      <c r="S86" s="5" t="n"/>
      <c r="T86" s="5" t="n"/>
      <c r="U86" s="5" t="n"/>
      <c r="V86" s="5" t="n"/>
      <c r="W86" s="5" t="n"/>
      <c r="X86" s="5" t="n"/>
      <c r="Y86" s="5" t="n"/>
      <c r="Z86" s="5" t="n"/>
      <c r="AA86" s="5" t="n"/>
      <c r="AB86" s="5" t="n"/>
      <c r="AC86" s="5" t="n"/>
      <c r="AD86" s="5" t="n"/>
      <c r="AE86" s="5" t="n"/>
      <c r="AF86" s="5" t="n"/>
      <c r="AG86" s="5" t="n"/>
      <c r="AH86" s="5" t="n"/>
      <c r="AI86" s="5" t="n"/>
      <c r="AJ86" s="5" t="n"/>
      <c r="AK86" s="5" t="n"/>
      <c r="AL86" s="5" t="n"/>
      <c r="AM86" s="5" t="n"/>
      <c r="AN86" s="5" t="n"/>
      <c r="AO86" s="5" t="n"/>
      <c r="AP86" s="5" t="n"/>
      <c r="AQ86" s="5" t="n"/>
      <c r="AR86" s="5" t="n"/>
      <c r="AS86" s="5" t="n"/>
      <c r="AT86" s="5" t="n"/>
      <c r="AU86" s="5" t="n"/>
      <c r="AV86" s="5" t="n"/>
      <c r="AW86" s="5" t="n"/>
      <c r="AX86" s="5" t="n"/>
      <c r="AY86" s="5" t="n"/>
      <c r="AZ86" s="5" t="n"/>
      <c r="BA86" s="5" t="n"/>
      <c r="BB86" s="5" t="n"/>
      <c r="BC86" s="5" t="n"/>
      <c r="BD86" s="5" t="n"/>
      <c r="BE86" s="5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F07E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介子九维 JIEZIJIUWEI</dc:creator>
  <dc:title xmlns:dc="http://purl.org/dc/elements/1.1/">绿电直连经济测算 v1</dc:title>
  <dc:description xmlns:dc="http://purl.org/dc/elements/1.1/">本工具由介子九维（JIEZIJIUWEI）制作并享有著作权。</dc:description>
  <dc:subject xmlns:dc="http://purl.org/dc/elements/1.1/">新能源测算工具箱</dc:subject>
  <dcterms:created xmlns:dcterms="http://purl.org/dc/terms/" xmlns:xsi="http://www.w3.org/2001/XMLSchema-instance" xsi:type="dcterms:W3CDTF">2026-07-07T14:28:48Z</dcterms:created>
  <dcterms:modified xmlns:dcterms="http://purl.org/dc/terms/" xmlns:xsi="http://www.w3.org/2001/XMLSchema-instance" xsi:type="dcterms:W3CDTF">2026-07-07T14:28:48Z</dcterms:modified>
  <cp:lastModifiedBy>介子九维 JIEZIJIUWEI</cp:lastModifiedBy>
</cp:coreProperties>
</file>