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 workbookPassword="F07E" lockStructure="1"/>
  <bookViews>
    <workbookView visibility="visible" minimized="0" showHorizontalScroll="1" showVerticalScroll="1" showSheetTabs="1" tabRatio="600" firstSheet="0" activeTab="0" autoFilterDateGrouping="1"/>
  </bookViews>
  <sheets>
    <sheet name="说明" sheetId="1" state="visible" r:id="rId1"/>
    <sheet name="总览" sheetId="2" state="visible" r:id="rId2"/>
    <sheet name="测算" sheetId="3" state="visible" r:id="rId3"/>
    <sheet name="_参数" sheetId="4" state="veryHidden" r:id="rId4"/>
    <sheet name="_引擎" sheetId="5" state="veryHidden" r:id="rId5"/>
  </sheets>
  <definedNames>
    <definedName name="_z6gsqn">'测算'!$C$5</definedName>
    <definedName name="_zyev25">'测算'!$C$8</definedName>
    <definedName name="_zo8el3">'测算'!$C$9</definedName>
    <definedName name="_z4s9pf">'测算'!$C$10</definedName>
    <definedName name="_zbwnle">'测算'!$C$11</definedName>
    <definedName name="_z35jsg">'测算'!$C$14</definedName>
    <definedName name="_z20bng">'测算'!$C$15</definedName>
    <definedName name="_z7rkww">'测算'!$C$16</definedName>
    <definedName name="_zs0ztd">'测算'!$C$17</definedName>
    <definedName name="_zbk3s9">'测算'!$C$20</definedName>
    <definedName name="_zbhogy">'测算'!$C$21</definedName>
    <definedName name="_zj6im6">'测算'!$C$22</definedName>
    <definedName name="_zm3b2j">'测算'!$C$23</definedName>
    <definedName name="_z9dcjh">'测算'!$C$24</definedName>
    <definedName name="_zejl2g">'测算'!$C$25</definedName>
    <definedName name="_z9dtod">'测算'!$C$26</definedName>
    <definedName name="_z3dr73">'测算'!$C$29</definedName>
    <definedName name="_zs8hzv">'测算'!$C$30</definedName>
    <definedName name="_z3cyv7">'测算'!$C$31</definedName>
    <definedName name="_zlv3g4">'测算'!$C$32</definedName>
    <definedName name="_zqzu0h">'测算'!$C$33</definedName>
    <definedName name="_zypcj4">'测算'!$C$34</definedName>
    <definedName name="_zz5rij">'测算'!$C$35</definedName>
    <definedName name="_z7z1u1">'测算'!$C$36</definedName>
    <definedName name="_zch3hk">'测算'!$C$37</definedName>
    <definedName name="_zx7e3u">'测算'!$H$4:$H$15</definedName>
    <definedName name="_zaxkoo">'测算'!$I$4:$I$15</definedName>
    <definedName name="_z5ugja">'测算'!$J$4:$J$15</definedName>
    <definedName name="_zl88ba">'测算'!$K$4:$K$15</definedName>
    <definedName name="_zbkm1b">'_参数'!$B$2</definedName>
    <definedName name="_z6ga35">'_引擎'!$B$16</definedName>
    <definedName name="_z15be9">'_引擎'!$B$17</definedName>
    <definedName name="_zn0hoh">'_引擎'!$B$18</definedName>
    <definedName name="_zmqr32">'_引擎'!$B$19</definedName>
    <definedName name="_zh2s1v">'_引擎'!$B$20</definedName>
    <definedName name="_z2dg1x">'_引擎'!$B$21</definedName>
    <definedName name="_zxo0o2">'_引擎'!$B$22</definedName>
    <definedName name="_z4gfqk">'_引擎'!$B$23</definedName>
    <definedName name="_zx5hja">'_引擎'!$B$24</definedName>
    <definedName name="_zk7d33">'_引擎'!$B$25</definedName>
    <definedName name="_zk1wd3">'_引擎'!$B$26</definedName>
    <definedName name="_z2al7i">'_引擎'!$B$27</definedName>
    <definedName name="_zgsfrl">'_引擎'!$B$28</definedName>
    <definedName name="_zr6ep0">'_引擎'!$B$29</definedName>
    <definedName name="_z9s2nl">'_引擎'!$B$30</definedName>
    <definedName name="_zuq05y">'_引擎'!$B$31</definedName>
    <definedName name="_zhgomo">'_引擎'!$B$32</definedName>
    <definedName name="_z31z7o">'_引擎'!$B$33</definedName>
    <definedName name="_zq09n0">'_引擎'!$B$34</definedName>
    <definedName name="_z1b5au">'_引擎'!$B$35</definedName>
    <definedName name="_zflcqk">'_引擎'!$B$36</definedName>
    <definedName name="_z3oe3u">'_引擎'!$B$37</definedName>
    <definedName name="_zlkbam">'_引擎'!$AR$41:$AR$66</definedName>
    <definedName name="_zka85g">'_引擎'!$AS$41:$AS$66</definedName>
    <definedName name="_z1jnxr">'_引擎'!$AT$41:$AT$66</definedName>
    <definedName name="_zmznvd">'_引擎'!$AU$41:$AU$66</definedName>
    <definedName name="_zrmajy">'_引擎'!$AV$41:$AV$66</definedName>
    <definedName name="_z671aw">'_引擎'!$AS$42:$AS$66</definedName>
    <definedName name="_zt4bk0">'_引擎'!$AW$42:$AW$66</definedName>
    <definedName name="_za10l5">'_引擎'!$D$42:$D$66</definedName>
    <definedName name="_zpb86f">'_引擎'!$A$41:$A$66</definedName>
    <definedName name="_zsqbm8">'_引擎'!$B$68</definedName>
    <definedName name="_zzj3wj">'_引擎'!$B$69</definedName>
    <definedName name="_zqsho0">'_引擎'!$B$70</definedName>
    <definedName name="_zpy13v">'_引擎'!$B$71</definedName>
    <definedName name="_zxdbxd">'_引擎'!$B$72</definedName>
    <definedName name="_ztsxiq">'_引擎'!$B$73</definedName>
    <definedName name="_zvfwiv">'_引擎'!$B$74</definedName>
    <definedName name="_z3ewnh">'_引擎'!$B$75</definedName>
    <definedName name="_z2tbwe">'_引擎'!$B$76</definedName>
    <definedName name="_z7kil5">'_引擎'!$B$77</definedName>
    <definedName name="_z2mnkr">'_引擎'!$B$78</definedName>
    <definedName name="_zehl1m">'_引擎'!$B$79</definedName>
    <definedName name="_JZJW_ORIGIN" hidden="1">"JIEZIJIUWEI-2026-V1"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0.00###"/>
    <numFmt numFmtId="165" formatCode="0.0%"/>
    <numFmt numFmtId="166" formatCode="0.0000"/>
    <numFmt numFmtId="167" formatCode="#,##0.0"/>
    <numFmt numFmtId="168" formatCode="0.0"/>
    <numFmt numFmtId="169" formatCode="0.000"/>
  </numFmts>
  <fonts count="11">
    <font>
      <name val="Calibri"/>
      <family val="2"/>
      <color theme="1"/>
      <sz val="11"/>
      <scheme val="minor"/>
    </font>
    <font>
      <name val="微软雅黑"/>
      <b val="1"/>
      <color rgb="001A1A1A"/>
      <sz val="16"/>
    </font>
    <font>
      <name val="微软雅黑"/>
      <color rgb="001A1A1A"/>
      <sz val="10"/>
    </font>
    <font>
      <name val="微软雅黑"/>
      <b val="1"/>
      <color rgb="001F3864"/>
      <sz val="10"/>
    </font>
    <font>
      <name val="微软雅黑"/>
      <color rgb="007F7F7F"/>
      <sz val="9"/>
    </font>
    <font>
      <name val="微软雅黑"/>
      <b val="1"/>
      <color rgb="001A1A1A"/>
      <sz val="13"/>
    </font>
    <font>
      <name val="微软雅黑"/>
      <b val="1"/>
      <color rgb="00FFFFFF"/>
      <sz val="10"/>
    </font>
    <font>
      <name val="微软雅黑"/>
      <b val="1"/>
      <color rgb="000000C0"/>
      <sz val="10"/>
    </font>
    <font>
      <name val="微软雅黑"/>
      <b val="1"/>
      <color rgb="00BF8F00"/>
      <sz val="9"/>
    </font>
    <font>
      <name val="微软雅黑"/>
      <color rgb="007F7F7F"/>
      <sz val="10"/>
    </font>
    <font>
      <name val="微软雅黑"/>
      <b val="1"/>
      <color rgb="001A1A1A"/>
      <sz val="22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7E0"/>
      </patternFill>
    </fill>
  </fills>
  <borders count="26">
    <border>
      <left/>
      <right/>
      <top/>
      <bottom/>
      <diagonal/>
    </border>
    <border>
      <bottom style="medium">
        <color rgb="001F3864"/>
      </bottom>
    </border>
    <border>
      <bottom style="thin">
        <color rgb="001F3864"/>
      </bottom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  <border>
      <bottom style="thin">
        <color rgb="00D9D9D9"/>
      </bottom>
    </border>
    <border>
      <left style="thin">
        <color rgb="00BFBFBF"/>
      </left>
      <top style="thin">
        <color rgb="00BFBFBF"/>
      </top>
      <bottom style="hair">
        <color rgb="00D9D9D9"/>
      </bottom>
    </border>
    <border>
      <top style="thin">
        <color rgb="00BFBFBF"/>
      </top>
      <bottom style="hair">
        <color rgb="00D9D9D9"/>
      </bottom>
    </border>
    <border>
      <right style="thin">
        <color rgb="00BFBFBF"/>
      </right>
      <top style="thin">
        <color rgb="00BFBFBF"/>
      </top>
      <bottom style="hair">
        <color rgb="00D9D9D9"/>
      </bottom>
    </border>
    <border>
      <left style="thin">
        <color rgb="00BFBFBF"/>
      </left>
      <bottom style="hair">
        <color rgb="00D9D9D9"/>
      </bottom>
    </border>
    <border>
      <bottom style="hair">
        <color rgb="00D9D9D9"/>
      </bottom>
    </border>
    <border>
      <right style="thin">
        <color rgb="00BFBFBF"/>
      </right>
      <bottom style="hair">
        <color rgb="00D9D9D9"/>
      </bottom>
    </border>
    <border>
      <left style="thin">
        <color rgb="00BFBFBF"/>
      </left>
      <bottom style="thin">
        <color rgb="00BFBFBF"/>
      </bottom>
    </border>
    <border>
      <bottom style="thin">
        <color rgb="00BFBFBF"/>
      </bottom>
    </border>
    <border>
      <right style="thin">
        <color rgb="00BFBFBF"/>
      </right>
      <bottom style="thin">
        <color rgb="00BFBFBF"/>
      </bottom>
    </border>
    <border>
      <left style="thin">
        <color rgb="00BFBFBF"/>
      </left>
      <bottom style="medium">
        <color rgb="001F3864"/>
      </bottom>
    </border>
    <border>
      <right style="thin">
        <color rgb="00BFBFBF"/>
      </right>
      <bottom style="medium">
        <color rgb="001F3864"/>
      </bottom>
    </border>
    <border>
      <left style="thin">
        <color rgb="00BFBFBF"/>
      </left>
      <top style="thin">
        <color rgb="00BFBFBF"/>
      </top>
      <bottom style="medium">
        <color rgb="001F3864"/>
      </bottom>
    </border>
    <border>
      <top style="thin">
        <color rgb="00BFBFBF"/>
      </top>
      <bottom style="medium">
        <color rgb="001F3864"/>
      </bottom>
    </border>
    <border>
      <right style="thin">
        <color rgb="00BFBFBF"/>
      </right>
      <top style="thin">
        <color rgb="00BFBFBF"/>
      </top>
      <bottom style="medium">
        <color rgb="001F3864"/>
      </bottom>
    </border>
    <border>
      <left/>
      <right/>
      <top style="medium">
        <color rgb="001F3864"/>
      </top>
      <bottom/>
    </border>
    <border>
      <left/>
      <right/>
      <top/>
      <bottom style="hair">
        <color rgb="00D9D9D9"/>
      </bottom>
    </border>
    <border>
      <left/>
      <right style="hair">
        <color rgb="00D9D9D9"/>
      </right>
      <top style="medium">
        <color rgb="001F3864"/>
      </top>
      <bottom/>
    </border>
    <border>
      <left/>
      <right style="hair">
        <color rgb="00D9D9D9"/>
      </right>
      <top/>
      <bottom/>
    </border>
    <border>
      <left/>
      <right style="hair">
        <color rgb="00D9D9D9"/>
      </right>
      <top/>
      <bottom style="hair">
        <color rgb="00D9D9D9"/>
      </bottom>
    </border>
    <border>
      <left/>
      <right/>
      <top style="hair">
        <color rgb="00D9D9D9"/>
      </top>
      <bottom/>
    </border>
    <border>
      <left/>
      <right/>
      <top style="hair">
        <color rgb="00D9D9D9"/>
      </top>
      <bottom/>
      <diagonal/>
    </border>
  </borders>
  <cellStyleXfs count="1">
    <xf numFmtId="0" fontId="0" fillId="0" borderId="0"/>
  </cellStyleXfs>
  <cellXfs count="69">
    <xf numFmtId="0" fontId="0" fillId="0" borderId="0" pivotButton="0" quotePrefix="0" xfId="0"/>
    <xf numFmtId="0" fontId="1" fillId="0" borderId="0" applyProtection="1" pivotButton="0" quotePrefix="0" xfId="0">
      <protection locked="1" hidden="1"/>
    </xf>
    <xf numFmtId="0" fontId="2" fillId="0" borderId="0" applyAlignment="1" applyProtection="1" pivotButton="0" quotePrefix="0" xfId="0">
      <alignment vertical="top" wrapText="1"/>
      <protection locked="1" hidden="1"/>
    </xf>
    <xf numFmtId="0" fontId="3" fillId="0" borderId="0" applyAlignment="1" applyProtection="1" pivotButton="0" quotePrefix="0" xfId="0">
      <alignment vertical="top" wrapText="1"/>
      <protection locked="1" hidden="1"/>
    </xf>
    <xf numFmtId="0" fontId="4" fillId="0" borderId="0" applyAlignment="1" applyProtection="1" pivotButton="0" quotePrefix="0" xfId="0">
      <alignment vertical="top" wrapText="1"/>
      <protection locked="1" hidden="1"/>
    </xf>
    <xf numFmtId="0" fontId="0" fillId="0" borderId="0" applyProtection="1" pivotButton="0" quotePrefix="0" xfId="0">
      <protection locked="1" hidden="1"/>
    </xf>
    <xf numFmtId="0" fontId="1" fillId="0" borderId="0" applyAlignment="1" applyProtection="1" pivotButton="0" quotePrefix="0" xfId="0">
      <alignment horizontal="left" vertical="center"/>
      <protection locked="1" hidden="1"/>
    </xf>
    <xf numFmtId="0" fontId="9" fillId="0" borderId="0" applyAlignment="1" applyProtection="1" pivotButton="0" quotePrefix="0" xfId="0">
      <alignment horizontal="right" vertical="center"/>
      <protection locked="1" hidden="1"/>
    </xf>
    <xf numFmtId="0" fontId="4" fillId="0" borderId="0" applyAlignment="1" applyProtection="1" pivotButton="0" quotePrefix="0" xfId="0">
      <alignment horizontal="left" vertical="center"/>
      <protection locked="1" hidden="1"/>
    </xf>
    <xf numFmtId="0" fontId="4" fillId="0" borderId="19" applyAlignment="1" applyProtection="1" pivotButton="0" quotePrefix="0" xfId="0">
      <alignment horizontal="center" vertical="center"/>
      <protection locked="1" hidden="1"/>
    </xf>
    <xf numFmtId="0" fontId="0" fillId="0" borderId="19" applyProtection="1" pivotButton="0" quotePrefix="0" xfId="0">
      <protection locked="1" hidden="1"/>
    </xf>
    <xf numFmtId="0" fontId="0" fillId="0" borderId="21" applyProtection="1" pivotButton="0" quotePrefix="0" xfId="0">
      <protection locked="1" hidden="1"/>
    </xf>
    <xf numFmtId="10" fontId="10" fillId="0" borderId="0" applyAlignment="1" applyProtection="1" pivotButton="0" quotePrefix="0" xfId="0">
      <alignment horizontal="center" vertical="center"/>
      <protection locked="1" hidden="1"/>
    </xf>
    <xf numFmtId="0" fontId="0" fillId="0" borderId="22" applyProtection="1" pivotButton="0" quotePrefix="0" xfId="0">
      <protection locked="1" hidden="1"/>
    </xf>
    <xf numFmtId="3" fontId="10" fillId="0" borderId="0" applyAlignment="1" applyProtection="1" pivotButton="0" quotePrefix="0" xfId="0">
      <alignment horizontal="center" vertical="center"/>
      <protection locked="1" hidden="1"/>
    </xf>
    <xf numFmtId="168" fontId="10" fillId="0" borderId="0" applyAlignment="1" applyProtection="1" pivotButton="0" quotePrefix="0" xfId="0">
      <alignment horizontal="center" vertical="center"/>
      <protection locked="1" hidden="1"/>
    </xf>
    <xf numFmtId="169" fontId="10" fillId="0" borderId="0" applyAlignment="1" applyProtection="1" pivotButton="0" quotePrefix="0" xfId="0">
      <alignment horizontal="center" vertical="center"/>
      <protection locked="1" hidden="1"/>
    </xf>
    <xf numFmtId="0" fontId="4" fillId="0" borderId="20" applyAlignment="1" applyProtection="1" pivotButton="0" quotePrefix="0" xfId="0">
      <alignment horizontal="center" vertical="center"/>
      <protection locked="1" hidden="1"/>
    </xf>
    <xf numFmtId="0" fontId="0" fillId="0" borderId="20" applyProtection="1" pivotButton="0" quotePrefix="0" xfId="0">
      <protection locked="1" hidden="1"/>
    </xf>
    <xf numFmtId="0" fontId="0" fillId="0" borderId="23" applyProtection="1" pivotButton="0" quotePrefix="0" xfId="0">
      <protection locked="1" hidden="1"/>
    </xf>
    <xf numFmtId="0" fontId="4" fillId="0" borderId="24" applyAlignment="1" applyProtection="1" pivotButton="0" quotePrefix="0" xfId="0">
      <alignment horizontal="left" vertical="center"/>
      <protection locked="1" hidden="1"/>
    </xf>
    <xf numFmtId="0" fontId="0" fillId="0" borderId="25" applyProtection="1" pivotButton="0" quotePrefix="0" xfId="0">
      <protection locked="1" hidden="1"/>
    </xf>
    <xf numFmtId="0" fontId="4" fillId="0" borderId="24" applyAlignment="1" applyProtection="1" pivotButton="0" quotePrefix="0" xfId="0">
      <alignment horizontal="right" vertical="center"/>
      <protection locked="1" hidden="1"/>
    </xf>
    <xf numFmtId="0" fontId="5" fillId="0" borderId="0" applyProtection="1" pivotButton="0" quotePrefix="0" xfId="0">
      <protection locked="1" hidden="1"/>
    </xf>
    <xf numFmtId="0" fontId="4" fillId="0" borderId="0" applyProtection="1" pivotButton="0" quotePrefix="0" xfId="0">
      <protection locked="1" hidden="1"/>
    </xf>
    <xf numFmtId="0" fontId="6" fillId="2" borderId="1" applyAlignment="1" applyProtection="1" pivotButton="0" quotePrefix="0" xfId="0">
      <alignment horizontal="center" vertical="center" wrapText="1"/>
      <protection locked="1" hidden="1"/>
    </xf>
    <xf numFmtId="0" fontId="3" fillId="0" borderId="2" applyAlignment="1" applyProtection="1" pivotButton="0" quotePrefix="0" xfId="0">
      <alignment vertical="center"/>
      <protection locked="1" hidden="1"/>
    </xf>
    <xf numFmtId="0" fontId="0" fillId="0" borderId="2" applyProtection="1" pivotButton="0" quotePrefix="0" xfId="0">
      <protection locked="1" hidden="1"/>
    </xf>
    <xf numFmtId="0" fontId="2" fillId="0" borderId="0" applyProtection="1" pivotButton="0" quotePrefix="0" xfId="0">
      <protection locked="1" hidden="1"/>
    </xf>
    <xf numFmtId="0" fontId="7" fillId="3" borderId="3" applyAlignment="1" applyProtection="1" pivotButton="0" quotePrefix="0" xfId="0">
      <alignment horizontal="center"/>
      <protection locked="0" hidden="0"/>
    </xf>
    <xf numFmtId="165" fontId="7" fillId="3" borderId="3" applyAlignment="1" applyProtection="1" pivotButton="0" quotePrefix="0" xfId="0">
      <alignment horizontal="right"/>
      <protection locked="0" hidden="0"/>
    </xf>
    <xf numFmtId="166" fontId="7" fillId="3" borderId="3" applyAlignment="1" applyProtection="1" pivotButton="0" quotePrefix="0" xfId="0">
      <alignment horizontal="right"/>
      <protection locked="0" hidden="0"/>
    </xf>
    <xf numFmtId="0" fontId="2" fillId="0" borderId="5" applyProtection="1" pivotButton="0" quotePrefix="0" xfId="0">
      <protection locked="1" hidden="1"/>
    </xf>
    <xf numFmtId="10" fontId="2" fillId="0" borderId="6" applyAlignment="1" applyProtection="1" pivotButton="0" quotePrefix="0" xfId="0">
      <alignment horizontal="right"/>
      <protection locked="1" hidden="1"/>
    </xf>
    <xf numFmtId="0" fontId="4" fillId="0" borderId="7" applyProtection="1" pivotButton="0" quotePrefix="0" xfId="0">
      <protection locked="1" hidden="1"/>
    </xf>
    <xf numFmtId="0" fontId="2" fillId="0" borderId="8" applyProtection="1" pivotButton="0" quotePrefix="0" xfId="0">
      <protection locked="1" hidden="1"/>
    </xf>
    <xf numFmtId="10" fontId="2" fillId="0" borderId="9" applyAlignment="1" applyProtection="1" pivotButton="0" quotePrefix="0" xfId="0">
      <alignment horizontal="right"/>
      <protection locked="1" hidden="1"/>
    </xf>
    <xf numFmtId="0" fontId="4" fillId="0" borderId="10" applyProtection="1" pivotButton="0" quotePrefix="0" xfId="0">
      <protection locked="1" hidden="1"/>
    </xf>
    <xf numFmtId="167" fontId="2" fillId="0" borderId="9" applyAlignment="1" applyProtection="1" pivotButton="0" quotePrefix="0" xfId="0">
      <alignment horizontal="right"/>
      <protection locked="1" hidden="1"/>
    </xf>
    <xf numFmtId="164" fontId="7" fillId="3" borderId="3" applyAlignment="1" applyProtection="1" pivotButton="0" quotePrefix="0" xfId="0">
      <alignment horizontal="right"/>
      <protection locked="0" hidden="0"/>
    </xf>
    <xf numFmtId="2" fontId="2" fillId="0" borderId="9" applyAlignment="1" applyProtection="1" pivotButton="0" quotePrefix="0" xfId="0">
      <alignment horizontal="right"/>
      <protection locked="1" hidden="1"/>
    </xf>
    <xf numFmtId="166" fontId="2" fillId="0" borderId="9" applyAlignment="1" applyProtection="1" pivotButton="0" quotePrefix="0" xfId="0">
      <alignment horizontal="right"/>
      <protection locked="1" hidden="1"/>
    </xf>
    <xf numFmtId="10" fontId="7" fillId="3" borderId="3" applyAlignment="1" applyProtection="1" pivotButton="0" quotePrefix="0" xfId="0">
      <alignment horizontal="right"/>
      <protection locked="0" hidden="0"/>
    </xf>
    <xf numFmtId="0" fontId="7" fillId="3" borderId="3" applyAlignment="1" applyProtection="1" pivotButton="0" quotePrefix="0" xfId="0">
      <alignment horizontal="right"/>
      <protection locked="0" hidden="0"/>
    </xf>
    <xf numFmtId="165" fontId="2" fillId="0" borderId="9" applyAlignment="1" applyProtection="1" pivotButton="0" quotePrefix="0" xfId="0">
      <alignment horizontal="right"/>
      <protection locked="1" hidden="1"/>
    </xf>
    <xf numFmtId="1" fontId="2" fillId="0" borderId="9" applyAlignment="1" applyProtection="1" pivotButton="0" quotePrefix="0" xfId="0">
      <alignment horizontal="right"/>
      <protection locked="1" hidden="1"/>
    </xf>
    <xf numFmtId="165" fontId="2" fillId="0" borderId="4" applyAlignment="1" applyProtection="1" pivotButton="0" quotePrefix="0" xfId="0">
      <alignment horizontal="right"/>
      <protection locked="1" hidden="1"/>
    </xf>
    <xf numFmtId="0" fontId="8" fillId="0" borderId="0" applyProtection="1" pivotButton="0" quotePrefix="0" xfId="0">
      <protection locked="1" hidden="1"/>
    </xf>
    <xf numFmtId="0" fontId="2" fillId="0" borderId="11" applyProtection="1" pivotButton="0" quotePrefix="0" xfId="0">
      <protection locked="1" hidden="1"/>
    </xf>
    <xf numFmtId="167" fontId="2" fillId="0" borderId="12" applyAlignment="1" applyProtection="1" pivotButton="0" quotePrefix="0" xfId="0">
      <alignment horizontal="right"/>
      <protection locked="1" hidden="1"/>
    </xf>
    <xf numFmtId="0" fontId="4" fillId="0" borderId="13" applyProtection="1" pivotButton="0" quotePrefix="0" xfId="0">
      <protection locked="1" hidden="1"/>
    </xf>
    <xf numFmtId="0" fontId="3" fillId="0" borderId="5" applyAlignment="1" applyProtection="1" pivotButton="0" quotePrefix="0" xfId="0">
      <alignment vertical="center"/>
      <protection locked="1" hidden="1"/>
    </xf>
    <xf numFmtId="0" fontId="0" fillId="0" borderId="6" applyProtection="1" pivotButton="0" quotePrefix="0" xfId="0">
      <protection locked="1" hidden="1"/>
    </xf>
    <xf numFmtId="0" fontId="0" fillId="0" borderId="7" applyProtection="1" pivotButton="0" quotePrefix="0" xfId="0">
      <protection locked="1" hidden="1"/>
    </xf>
    <xf numFmtId="0" fontId="0" fillId="0" borderId="10" pivotButton="0" quotePrefix="0" xfId="0"/>
    <xf numFmtId="0" fontId="0" fillId="0" borderId="8" pivotButton="0" quotePrefix="0" xfId="0"/>
    <xf numFmtId="0" fontId="0" fillId="0" borderId="9" pivotButton="0" quotePrefix="0" xfId="0"/>
    <xf numFmtId="0" fontId="3" fillId="0" borderId="8" applyAlignment="1" applyProtection="1" pivotButton="0" quotePrefix="0" xfId="0">
      <alignment vertical="center"/>
      <protection locked="1" hidden="1"/>
    </xf>
    <xf numFmtId="0" fontId="0" fillId="0" borderId="9" applyProtection="1" pivotButton="0" quotePrefix="0" xfId="0">
      <protection locked="1" hidden="1"/>
    </xf>
    <xf numFmtId="0" fontId="0" fillId="0" borderId="10" applyProtection="1" pivotButton="0" quotePrefix="0" xfId="0">
      <protection locked="1" hidden="1"/>
    </xf>
    <xf numFmtId="0" fontId="6" fillId="2" borderId="14" applyAlignment="1" applyProtection="1" pivotButton="0" quotePrefix="0" xfId="0">
      <alignment horizontal="center" vertical="center" wrapText="1"/>
      <protection locked="1" hidden="1"/>
    </xf>
    <xf numFmtId="0" fontId="6" fillId="2" borderId="15" applyAlignment="1" applyProtection="1" pivotButton="0" quotePrefix="0" xfId="0">
      <alignment horizontal="center" vertical="center" wrapText="1"/>
      <protection locked="1" hidden="1"/>
    </xf>
    <xf numFmtId="167" fontId="2" fillId="0" borderId="10" applyAlignment="1" applyProtection="1" pivotButton="0" quotePrefix="0" xfId="0">
      <alignment horizontal="right"/>
      <protection locked="1" hidden="1"/>
    </xf>
    <xf numFmtId="167" fontId="2" fillId="0" borderId="13" applyAlignment="1" applyProtection="1" pivotButton="0" quotePrefix="0" xfId="0">
      <alignment horizontal="right"/>
      <protection locked="1" hidden="1"/>
    </xf>
    <xf numFmtId="0" fontId="6" fillId="2" borderId="16" applyAlignment="1" applyProtection="1" pivotButton="0" quotePrefix="0" xfId="0">
      <alignment horizontal="center" vertical="center" wrapText="1"/>
      <protection locked="1" hidden="1"/>
    </xf>
    <xf numFmtId="0" fontId="6" fillId="2" borderId="17" applyAlignment="1" applyProtection="1" pivotButton="0" quotePrefix="0" xfId="0">
      <alignment horizontal="center" vertical="center" wrapText="1"/>
      <protection locked="1" hidden="1"/>
    </xf>
    <xf numFmtId="0" fontId="6" fillId="2" borderId="18" applyAlignment="1" applyProtection="1" pivotButton="0" quotePrefix="0" xfId="0">
      <alignment horizontal="center" vertical="center" wrapText="1"/>
      <protection locked="1" hidden="1"/>
    </xf>
    <xf numFmtId="1" fontId="2" fillId="0" borderId="8" applyAlignment="1" applyProtection="1" pivotButton="0" quotePrefix="0" xfId="0">
      <alignment horizontal="right"/>
      <protection locked="1" hidden="1"/>
    </xf>
    <xf numFmtId="1" fontId="2" fillId="0" borderId="11" applyAlignment="1" applyProtection="1" pivotButton="0" quotePrefix="0" xfId="0">
      <alignment horizontal="right"/>
      <protection locked="1" hidden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运营期净现金流与累计回收（万元）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逐年税后净现金流</v>
          </tx>
          <spPr>
            <a:solidFill>
              <a:srgbClr val="1F3864"/>
            </a:solidFill>
            <a:ln>
              <a:prstDash val="solid"/>
            </a:ln>
          </spPr>
          <cat>
            <numRef>
              <f>'测算'!$B$51:$B$75</f>
            </numRef>
          </cat>
          <val>
            <numRef>
              <f>'测算'!$L$51:$L$75</f>
            </numRef>
          </val>
        </ser>
        <gapWidth val="40"/>
        <axId val="10"/>
        <axId val="100"/>
      </barChart>
      <lineChart>
        <grouping val="standard"/>
        <ser>
          <idx val="1"/>
          <order val="1"/>
          <tx>
            <v>累计税后净现金流</v>
          </tx>
          <spPr>
            <a:ln w="28000">
              <a:solidFill>
                <a:srgbClr val="C00000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'测算'!$M$51:$M$75</f>
            </numRef>
          </val>
          <smooth val="0"/>
        </ser>
        <axId val="10"/>
        <axId val="2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TickMark val="none"/>
        <minorTickMark val="none"/>
        <crossAx val="10"/>
      </valAx>
      <valAx>
        <axId val="200"/>
        <scaling>
          <orientation val="minMax"/>
        </scaling>
        <axPos val="l"/>
        <majorGridlines/>
        <majorTickMark val="none"/>
        <minorTickMark val="none"/>
        <crossAx val="10"/>
        <crosses val="max"/>
      </valAx>
    </plotArea>
    <legend>
      <legendPos val="b"/>
    </legend>
    <plotVisOnly val="0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首年成本构成（万元）</a:t>
            </a:r>
          </a:p>
        </rich>
      </tx>
      <overlay val="0"/>
    </title>
    <plotArea>
      <barChart>
        <barDir val="bar"/>
        <grouping val="clustered"/>
        <ser>
          <idx val="0"/>
          <order val="0"/>
          <tx>
            <v>首年成本</v>
          </tx>
          <spPr>
            <a:solidFill>
              <a:srgbClr val="1F3864"/>
            </a:solidFill>
            <a:ln>
              <a:prstDash val="solid"/>
            </a:ln>
          </spPr>
          <cat>
            <numRef>
              <f>'测算'!$M$20:$M$25</f>
            </numRef>
          </cat>
          <val>
            <numRef>
              <f>'测算'!$N$20:$N$25</f>
            </numRef>
          </val>
        </ser>
        <dLbls>
          <numFmt formatCode="#,##0"/>
          <dLblPos val="outEnd"/>
          <showLegendKey val="0"/>
          <showVal val="1"/>
          <showCatName val="0"/>
          <showSerName val="0"/>
          <showPercent val="0"/>
          <showBubbleSize val="0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月度电量结构（万kWh）</a:t>
            </a:r>
          </a:p>
        </rich>
      </tx>
      <overlay val="0"/>
    </title>
    <plotArea>
      <barChart>
        <barDir val="col"/>
        <grouping val="stacked"/>
        <ser>
          <idx val="0"/>
          <order val="0"/>
          <tx>
            <v>自用</v>
          </tx>
          <spPr>
            <a:solidFill>
              <a:srgbClr val="1F3864"/>
            </a:solidFill>
            <a:ln>
              <a:prstDash val="solid"/>
            </a:ln>
          </spPr>
          <cat>
            <numRef>
              <f>'测算'!$M$35:$M$46</f>
            </numRef>
          </cat>
          <val>
            <numRef>
              <f>'测算'!$N$35:$N$46</f>
            </numRef>
          </val>
        </ser>
        <ser>
          <idx val="1"/>
          <order val="1"/>
          <tx>
            <v>上网</v>
          </tx>
          <spPr>
            <a:solidFill>
              <a:srgbClr val="5B7FB4"/>
            </a:solidFill>
            <a:ln>
              <a:prstDash val="solid"/>
            </a:ln>
          </spPr>
          <cat>
            <numRef>
              <f>'测算'!$M$35:$M$46</f>
            </numRef>
          </cat>
          <val>
            <numRef>
              <f>'测算'!$O$35:$O$46</f>
            </numRef>
          </val>
        </ser>
        <gapWidth val="4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年度经营成本构成（%）</a:t>
            </a:r>
          </a:p>
        </rich>
      </tx>
      <overlay val="0"/>
    </title>
    <plotArea>
      <doughnutChart>
        <varyColors val="1"/>
        <ser>
          <idx val="0"/>
          <order val="0"/>
          <tx>
            <v>年度经营成本</v>
          </tx>
          <spPr>
            <a:ln>
              <a:prstDash val="solid"/>
            </a:ln>
          </spPr>
          <dPt>
            <idx val="0"/>
            <spPr>
              <a:solidFill>
                <a:srgbClr val="1F3864"/>
              </a:solidFill>
              <a:ln>
                <a:prstDash val="solid"/>
              </a:ln>
            </spPr>
          </dPt>
          <dPt>
            <idx val="1"/>
            <spPr>
              <a:solidFill>
                <a:srgbClr val="2E5090"/>
              </a:solidFill>
              <a:ln>
                <a:prstDash val="solid"/>
              </a:ln>
            </spPr>
          </dPt>
          <dPt>
            <idx val="2"/>
            <spPr>
              <a:solidFill>
                <a:srgbClr val="5B7FB4"/>
              </a:solidFill>
              <a:ln>
                <a:prstDash val="solid"/>
              </a:ln>
            </spPr>
          </dPt>
          <dPt>
            <idx val="3"/>
            <spPr>
              <a:solidFill>
                <a:srgbClr val="8FA9CE"/>
              </a:solidFill>
              <a:ln>
                <a:prstDash val="solid"/>
              </a:ln>
            </spPr>
          </dPt>
          <cat>
            <numRef>
              <f>'测算'!$M$28:$M$31</f>
            </numRef>
          </cat>
          <val>
            <numRef>
              <f>'测算'!$N$28:$N$31</f>
            </numRef>
          </val>
        </ser>
        <dLbls>
          <numFmt formatCode="0.0%"/>
          <showLegendKey val="0"/>
          <showVal val="0"/>
          <showCatName val="0"/>
          <showSerName val="0"/>
          <showPercent val="1"/>
          <showBubbleSize val="0"/>
        </dLbls>
        <firstSliceAng val="0"/>
        <holeSize val="55"/>
      </doughnutChart>
    </plotArea>
    <legend>
      <legendPos val="r"/>
    </legend>
    <plotVisOnly val="0"/>
    <dispBlanksAs val="gap"/>
  </chart>
</chartSpace>
</file>

<file path=xl/comments/comment1.xml><?xml version="1.0" encoding="utf-8"?>
<comments xmlns="http://schemas.openxmlformats.org/spreadsheetml/2006/main">
  <authors>
    <author>介子九维 JIEZIJIUWEI</author>
  </authors>
  <commentList>
    <comment ref="H4" authorId="0" shapeId="0">
      <text>
        <t>该月属于丰水期或枯水期，决定采用哪个折扣系数。</t>
      </text>
    </comment>
    <comment ref="I4" authorId="0" shapeId="0">
      <text>
        <t>该月发电量占全年发电量的比例，12个月合计应为100%。</t>
      </text>
    </comment>
    <comment ref="J4" authorId="0" shapeId="0">
      <text>
        <t>该月发电量中被自用消纳的比例。</t>
      </text>
    </comment>
    <comment ref="K4" authorId="0" shapeId="0">
      <text>
        <t>该月自用电量对应的目录/到户电度价（含税），自用结算价＝该价×丰枯折扣系数，且不低于地板价。</t>
      </text>
    </comment>
    <comment ref="C5" authorId="0" shapeId="0">
      <text>
        <t>是否启用三免三减半所得税优惠。正式使用前应结合项目备案与税务适用条件复核。
示例：开启</t>
      </text>
    </comment>
    <comment ref="C8" authorId="0" shapeId="0">
      <text>
        <t>项目装机规模，按分布式光伏常用 MWp 单位填写。
示例：20 MWp</t>
      </text>
    </comment>
    <comment ref="C9" authorId="0" shapeId="0">
      <text>
        <t>首年等效利用小时，建议结合项目所在地资源评估或历史发电数据复核。
示例：1250 h</t>
      </text>
    </comment>
    <comment ref="C10" authorId="0" shapeId="0">
      <text>
        <t>组件发电能力逐年衰减比例。正式测算应以组件质保和设计报告为准。
示例：0.6%/年</t>
      </text>
    </comment>
    <comment ref="C11" authorId="0" shapeId="0">
      <text>
        <t>经济评价期。分布式光伏通常按 20 至 25 年测算。
示例：25 年
本工作簿现金流表最长支持25年。</t>
      </text>
    </comment>
    <comment ref="C14" authorId="0" shapeId="0">
      <text>
        <t>丰水期自用电价相对目录或合同电价的折扣系数。
示例：0.87</t>
      </text>
    </comment>
    <comment ref="C15" authorId="0" shapeId="0">
      <text>
        <t>枯水期自用电价相对目录或合同电价的折扣系数。
示例：0.93</t>
      </text>
    </comment>
    <comment ref="C16" authorId="0" shapeId="0">
      <text>
        <t>自用结算电价的最低保护价，防止折扣后价格过低。
示例：0.15 元/kWh</t>
      </text>
    </comment>
    <comment ref="C17" authorId="0" shapeId="0">
      <text>
        <t>未被现场消纳的余电上网结算价格。
示例：0.20 元/kWh</t>
      </text>
    </comment>
    <comment ref="C20" authorId="0" shapeId="0">
      <text>
        <t>单位工程造价，含组件、逆变器、支架、并网及施工等综合投资。
示例：2.8 元/W</t>
      </text>
    </comment>
    <comment ref="C21" authorId="0" shapeId="0">
      <text>
        <t>项目年度运维费用，含巡检、清洗、检修等。行业惯例值，可按企业实际情况修改。
示例：3 万元/MWp·年</t>
      </text>
    </comment>
    <comment ref="C22" authorId="0" shapeId="0">
      <text>
        <t>保险费按总投资比例估算。行业惯例值，可按企业实际情况修改。
示例：0.25%/年</t>
      </text>
    </comment>
    <comment ref="C23" authorId="0" shapeId="0">
      <text>
        <t>屋顶资源租金，按装机对应瓦数折算年度成本。
示例：0.05 元/W·年</t>
      </text>
    </comment>
    <comment ref="C24" authorId="0" shapeId="0">
      <text>
        <t>逆变器集中更换发生年份。若无需单列，可保持默认。
示例：第 12 年
更换支出当年全额费用化税前扣除，其进项税当年补入抵扣池；填0或大于运营期表示不发生更换。</t>
      </text>
    </comment>
    <comment ref="C25" authorId="0" shapeId="0">
      <text>
        <t>逆变器更换费用单价。
示例：0.15 元/W</t>
      </text>
    </comment>
    <comment ref="C26" authorId="0" shapeId="0">
      <text>
        <t>管理费、通信费等不便拆分的年度固定费用。
示例：10 万元/年</t>
      </text>
    </comment>
    <comment ref="C29" authorId="0" shapeId="0">
      <text>
        <t>建设投资中可形成增值税进项税抵扣的比例（进项税池 = 总投资 × 该比例，折旧计税基数为总投资扣除进项税池）。设备购置进项税按13%税率抵扣，建筑安装按9%，综合比例取决于分项投资构成，上限为13/113（约11.5%）。示例值待核，请按分项投资估算表核实。
示例：10%</t>
      </text>
    </comment>
    <comment ref="C30" authorId="0" shapeId="0">
      <text>
        <t>城建税及教育费附加等，按实际缴纳增值税的一定比例估算。
示例：12%
市区7%+3%+2%合计12%，县城、建制镇为5%+3%+2%，请按项目所在地适用档修改。</t>
      </text>
    </comment>
    <comment ref="C31" authorId="0" shapeId="0">
      <text>
        <t>企业所得税率。享受优惠时仍建议保留税率参数，另用税收优惠开关处理。
示例：25%
当年应纳税所得额为负时按税法结转以后五个年度弥补。</t>
      </text>
    </comment>
    <comment ref="C32" authorId="0" shapeId="0">
      <text>
        <t>固定资产折旧年限。行业惯例值，可按企业实际情况修改。
示例：20 年
年折旧额分母恒用税法折旧年限；计提年限不超过运营期，期末未折旧账面净值随余值一并回收。</t>
      </text>
    </comment>
    <comment ref="C33" authorId="0" shapeId="0">
      <text>
        <t>评价期末固定资产残值比例。行业惯例值，可按企业实际情况修改。
示例：5%</t>
      </text>
    </comment>
    <comment ref="C34" authorId="0" shapeId="0">
      <text>
        <t>资本金占总投资比例。
示例：30%</t>
      </text>
    </comment>
    <comment ref="C35" authorId="0" shapeId="0">
      <text>
        <t>长期贷款年利率。行业惯例值，可按企业实际情况修改。
示例：3.5%</t>
      </text>
    </comment>
    <comment ref="C36" authorId="0" shapeId="0">
      <text>
        <t>贷款偿还年限。
示例：15 年
贷款年限宜不大于运营期，超出部分的未偿本金将在运营期末一次性扣减资本金现金流。</t>
      </text>
    </comment>
    <comment ref="C37" authorId="0" shapeId="0">
      <text>
        <t>用于税后净现值和投资门槛判断的基准收益率。行业惯例值，可按企业实际情况修改。
示例：6%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7</row>
      <rowOff>0</rowOff>
    </from>
    <ext cx="12024000" cy="3096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</col>
      <colOff>0</colOff>
      <row>24</row>
      <rowOff>0</rowOff>
    </from>
    <ext cx="3528000" cy="288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9</col>
      <colOff>0</colOff>
      <row>24</row>
      <rowOff>0</rowOff>
    </from>
    <ext cx="3528000" cy="288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  <oneCellAnchor>
    <from>
      <col>17</col>
      <colOff>0</colOff>
      <row>24</row>
      <rowOff>0</rowOff>
    </from>
    <ext cx="3744000" cy="2880000"/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16" customWidth="1" min="2" max="2"/>
  </cols>
  <sheetData>
    <row r="1"/>
    <row r="2">
      <c r="B2" s="1" t="inlineStr">
        <is>
          <t>光伏自发自用经济测算 v1.0 · 介子九维 JIEZIJIUWEI</t>
        </is>
      </c>
    </row>
    <row r="3" ht="30" customHeight="1">
      <c r="B3" s="2" t="inlineStr">
        <is>
          <t>适用场景：分布式光伏自发自用、余电上网项目的经济性研判，月度电价按丰枯水期折扣结算（云南等以水电为主价区的典型结算方式），并设结算地板价。</t>
        </is>
      </c>
    </row>
    <row r="4">
      <c r="B4" s="3" t="inlineStr">
        <is>
          <t>使用方法</t>
        </is>
      </c>
    </row>
    <row r="5">
      <c r="B5" s="2" t="inlineStr">
        <is>
          <t>第一步：在「测算」表输入区修改黄底单元格；月度表中每月的发电量占比、自用比例、到户电度价与丰枯归属均可逐月修改。</t>
        </is>
      </c>
    </row>
    <row r="6">
      <c r="B6" s="2" t="inlineStr">
        <is>
          <t>第二步：查看结果区的关键指标、构成分析与逐年现金流，全簿公式即时重算。</t>
        </is>
      </c>
    </row>
    <row r="7">
      <c r="B7" s="2" t="inlineStr">
        <is>
          <t>第三步：需要留存比对的方案，将本文件另存副本后再改参数，避免覆盖原方案。</t>
        </is>
      </c>
    </row>
    <row r="8">
      <c r="B8" s="2" t="inlineStr"/>
    </row>
    <row r="9">
      <c r="B9" s="3" t="inlineStr">
        <is>
          <t>测算口径</t>
        </is>
      </c>
    </row>
    <row r="10" ht="60" customHeight="1">
      <c r="B10" s="2" t="inlineStr">
        <is>
          <t>财务评价采用融资前（全投资）与融资后（资本金）双口径现金流；投资按含税全额期初流出，现金流入按含税收入、流出扣实缴增值税，可抵扣进项税通过少缴销项逐年回收；折旧计税基数不含可抵扣进项税，年折旧额分母恒用税法折旧年限，期末回收固定资产余值（残值与未折旧账面净值）；逆变器更换当年费用化税前扣除、进项税补入抵扣池；亏损按税法结转以后五个年度弥补，全投资与资本金口径各设独立亏损池；三免三减半优惠按全部投资适用（光伏单一资产）。</t>
        </is>
      </c>
    </row>
    <row r="11">
      <c r="B11" s="2" t="inlineStr"/>
    </row>
    <row r="12">
      <c r="B12" s="3" t="inlineStr">
        <is>
          <t>版权与使用许可</t>
        </is>
      </c>
    </row>
    <row r="13">
      <c r="B13" s="2" t="inlineStr">
        <is>
          <t>本工具由介子九维（JIEZIJIUWEI）制作并享有著作权。</t>
        </is>
      </c>
    </row>
    <row r="14">
      <c r="B14" s="2" t="inlineStr">
        <is>
          <t>本工具免费提供给个人与企业内部评估使用，欢迎转发分享。</t>
        </is>
      </c>
    </row>
    <row r="15">
      <c r="B15" s="2" t="inlineStr">
        <is>
          <t>转发分享时请保留工具中的署名标识；不得售卖本工具，不得将其作为商业产品的组成部分再分发。</t>
        </is>
      </c>
    </row>
    <row r="16">
      <c r="B16" s="2" t="inlineStr">
        <is>
          <t>最新版本可通过微信公众号「介子九维」获取。</t>
        </is>
      </c>
    </row>
    <row r="17">
      <c r="B17" s="2" t="inlineStr"/>
    </row>
    <row r="18">
      <c r="B18" s="3" t="inlineStr">
        <is>
          <t>边界与免责</t>
        </is>
      </c>
    </row>
    <row r="19" ht="45" customHeight="1">
      <c r="B19" s="4" t="inlineStr">
        <is>
          <t>边界声明：全模型按不变价测算，收入与成本均不作年度价格增长放大；未计入建设期及建设期利息；未计入流动资金及其回收；贷款年限宜不大于运营期，超出部分的未偿本金在运营期末一次性扣减资本金现金流；回收期按累计现金流首次转正的年度线性插值。</t>
        </is>
      </c>
    </row>
    <row r="20">
      <c r="B20" s="4" t="inlineStr">
        <is>
          <t>结果仅供项目前期研判参考，不构成投资建议；正式决策以主管部门批复口径与项目可行性研究为准。</t>
        </is>
      </c>
    </row>
    <row r="21">
      <c r="B21" s="4" t="inlineStr">
        <is>
          <t>预设参数可直接使用，也可按项目实际逐项修改；正式测算前请结合项目实际核实取值。各参数的含义与填报要点见输入区单元格批注。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pageMargins left="0.75" right="0.75" top="1" bottom="1" header="0.5" footer="0.5"/>
  <headerFooter>
    <oddHeader/>
    <oddFooter>&amp;L光伏自发自用经济测算 v1.0&amp;R介子九维 JIEZIJIUWEI · 版权所有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4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</cols>
  <sheetData>
    <row r="1" ht="28" customHeight="1">
      <c r="A1" s="5" t="n"/>
      <c r="B1" s="6" t="inlineStr">
        <is>
          <t>光伏自发自用经济测算 · 总览</t>
        </is>
      </c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7" t="inlineStr">
        <is>
          <t>介子九维 JIEZIJIUWEI</t>
        </is>
      </c>
      <c r="Q1" s="5" t="n"/>
      <c r="R1" s="5" t="n"/>
      <c r="S1" s="5" t="n"/>
      <c r="T1" s="5" t="n"/>
      <c r="U1" s="5" t="n"/>
      <c r="V1" s="5" t="n"/>
    </row>
    <row r="2" ht="13" customHeight="1">
      <c r="A2" s="5" t="n"/>
      <c r="B2" s="8">
        <f>"当前参数下：税后全投资内部收益率 "&amp;TEXT(_z3ewnh,"0.00%")&amp;"，静态回收期 "&amp;TEXT(_z2mnkr,"0.0")&amp;" 年，首年自用节省 "&amp;TEXT(_z31z7o,"#,##0")&amp;" 万元"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</row>
    <row r="3" ht="6" customHeight="1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</row>
    <row r="4" ht="15" customHeight="1">
      <c r="A4" s="5" t="n"/>
      <c r="B4" s="9" t="inlineStr">
        <is>
          <t>全投资内部收益率（税后）</t>
        </is>
      </c>
      <c r="C4" s="10" t="n"/>
      <c r="D4" s="10" t="n"/>
      <c r="E4" s="11" t="n"/>
      <c r="F4" s="9" t="inlineStr">
        <is>
          <t>净现值（税后全投资）</t>
        </is>
      </c>
      <c r="G4" s="10" t="n"/>
      <c r="H4" s="10" t="n"/>
      <c r="I4" s="11" t="n"/>
      <c r="J4" s="9" t="inlineStr">
        <is>
          <t>静态回收期</t>
        </is>
      </c>
      <c r="K4" s="10" t="n"/>
      <c r="L4" s="10" t="n"/>
      <c r="M4" s="11" t="n"/>
      <c r="N4" s="9" t="inlineStr">
        <is>
          <t>度电成本 LCOE</t>
        </is>
      </c>
      <c r="O4" s="10" t="n"/>
      <c r="P4" s="10" t="n"/>
      <c r="Q4" s="11" t="n"/>
      <c r="R4" s="9" t="inlineStr">
        <is>
          <t>首年自用节省额</t>
        </is>
      </c>
      <c r="S4" s="10" t="n"/>
      <c r="T4" s="10" t="n"/>
      <c r="U4" s="10" t="n"/>
      <c r="V4" s="5" t="n"/>
    </row>
    <row r="5" ht="34" customHeight="1">
      <c r="A5" s="5" t="n"/>
      <c r="B5" s="12">
        <f>_z3ewnh</f>
        <v/>
      </c>
      <c r="C5" s="5" t="n"/>
      <c r="D5" s="5" t="n"/>
      <c r="E5" s="13" t="n"/>
      <c r="F5" s="14">
        <f>_z7kil5</f>
        <v/>
      </c>
      <c r="G5" s="5" t="n"/>
      <c r="H5" s="5" t="n"/>
      <c r="I5" s="13" t="n"/>
      <c r="J5" s="15">
        <f>_z2mnkr</f>
        <v/>
      </c>
      <c r="K5" s="5" t="n"/>
      <c r="L5" s="5" t="n"/>
      <c r="M5" s="13" t="n"/>
      <c r="N5" s="16">
        <f>_zehl1m</f>
        <v/>
      </c>
      <c r="O5" s="5" t="n"/>
      <c r="P5" s="5" t="n"/>
      <c r="Q5" s="13" t="n"/>
      <c r="R5" s="14">
        <f>_z31z7o</f>
        <v/>
      </c>
      <c r="S5" s="5" t="n"/>
      <c r="T5" s="5" t="n"/>
      <c r="U5" s="5" t="n"/>
      <c r="V5" s="5" t="n"/>
    </row>
    <row r="6" ht="15" customHeight="1">
      <c r="A6" s="5" t="n"/>
      <c r="B6" s="17" t="inlineStr">
        <is>
          <t>主评价指标</t>
        </is>
      </c>
      <c r="C6" s="18" t="n"/>
      <c r="D6" s="18" t="n"/>
      <c r="E6" s="19" t="n"/>
      <c r="F6" s="17" t="inlineStr">
        <is>
          <t>万元</t>
        </is>
      </c>
      <c r="G6" s="18" t="n"/>
      <c r="H6" s="18" t="n"/>
      <c r="I6" s="19" t="n"/>
      <c r="J6" s="17" t="inlineStr">
        <is>
          <t>年</t>
        </is>
      </c>
      <c r="K6" s="18" t="n"/>
      <c r="L6" s="18" t="n"/>
      <c r="M6" s="19" t="n"/>
      <c r="N6" s="17" t="inlineStr">
        <is>
          <t>元/kWh</t>
        </is>
      </c>
      <c r="O6" s="18" t="n"/>
      <c r="P6" s="18" t="n"/>
      <c r="Q6" s="19" t="n"/>
      <c r="R6" s="17" t="inlineStr">
        <is>
          <t>万元</t>
        </is>
      </c>
      <c r="S6" s="18" t="n"/>
      <c r="T6" s="18" t="n"/>
      <c r="U6" s="18" t="n"/>
      <c r="V6" s="5" t="n"/>
    </row>
    <row r="7" ht="8" customHeight="1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</row>
    <row r="8" ht="15.5" customHeight="1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</row>
    <row r="9" ht="15.5" customHeight="1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</row>
    <row r="10" ht="15.5" customHeight="1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</row>
    <row r="11" ht="15.5" customHeight="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</row>
    <row r="12" ht="15.5" customHeight="1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</row>
    <row r="13" ht="15.5" customHeight="1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</row>
    <row r="14" ht="15.5" customHeight="1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</row>
    <row r="15" ht="15.5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</row>
    <row r="16" ht="15.5" customHeight="1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</row>
    <row r="17" ht="15.5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</row>
    <row r="18" ht="15.5" customHeight="1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</row>
    <row r="19" ht="15.5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</row>
    <row r="20" ht="15.5" customHeight="1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</row>
    <row r="21" ht="15.5" customHeight="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</row>
    <row r="22" ht="15.5" customHeight="1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</row>
    <row r="23" ht="15.5" customHeight="1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</row>
    <row r="24" ht="15.5" customHeight="1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</row>
    <row r="25" ht="15.5" customHeight="1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</row>
    <row r="26" ht="15.5" customHeight="1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</row>
    <row r="27" ht="15.5" customHeight="1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</row>
    <row r="28" ht="15.5" customHeight="1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</row>
    <row r="29" ht="15.5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</row>
    <row r="30" ht="15.5" customHeight="1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</row>
    <row r="31" ht="15.5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</row>
    <row r="32" ht="15.5" customHeight="1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</row>
    <row r="33" ht="15.5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</row>
    <row r="34" ht="15.5" customHeight="1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</row>
    <row r="35" ht="15.5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</row>
    <row r="36" ht="15.5" customHeight="1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</row>
    <row r="37" ht="15.5" customHeight="1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</row>
    <row r="38" ht="15.5" customHeight="1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</row>
    <row r="39" ht="15.5" customHeight="1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</row>
    <row r="40" ht="15.5" customHeight="1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</row>
    <row r="41" ht="16" customHeight="1">
      <c r="A41" s="5" t="n"/>
      <c r="B41" s="20" t="inlineStr">
        <is>
          <t>结果随「测算」表输入即时更新；测算口径与边界声明见「说明」。</t>
        </is>
      </c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  <c r="M41" s="21" t="n"/>
      <c r="N41" s="21" t="n"/>
      <c r="O41" s="21" t="n"/>
      <c r="P41" s="22" t="inlineStr">
        <is>
          <t>介子九维 JIEZIJIUWEI</t>
        </is>
      </c>
      <c r="Q41" s="21" t="n"/>
      <c r="R41" s="21" t="n"/>
      <c r="S41" s="21" t="n"/>
      <c r="T41" s="21" t="n"/>
      <c r="U41" s="21" t="n"/>
      <c r="V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mergeCells count="20">
    <mergeCell ref="B41:O41"/>
    <mergeCell ref="B6:E6"/>
    <mergeCell ref="B5:E5"/>
    <mergeCell ref="N6:Q6"/>
    <mergeCell ref="R5:U5"/>
    <mergeCell ref="B4:E4"/>
    <mergeCell ref="F4:I4"/>
    <mergeCell ref="N4:Q4"/>
    <mergeCell ref="B2:U2"/>
    <mergeCell ref="J5:M5"/>
    <mergeCell ref="F6:I6"/>
    <mergeCell ref="B1:O1"/>
    <mergeCell ref="R4:U4"/>
    <mergeCell ref="J6:M6"/>
    <mergeCell ref="F5:I5"/>
    <mergeCell ref="R6:U6"/>
    <mergeCell ref="N5:Q5"/>
    <mergeCell ref="P1:U1"/>
    <mergeCell ref="P41:U41"/>
    <mergeCell ref="J4:M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7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" customWidth="1" min="1" max="1"/>
    <col width="26" customWidth="1" min="2" max="2"/>
    <col width="13" customWidth="1" min="3" max="3"/>
    <col width="12" customWidth="1" min="4" max="4"/>
    <col width="10" customWidth="1" min="5" max="5"/>
    <col width="8" customWidth="1" min="6" max="6"/>
    <col width="10" customWidth="1" min="7" max="7"/>
    <col width="12" customWidth="1" min="8" max="8"/>
    <col width="12" customWidth="1" min="9" max="9"/>
    <col width="12" customWidth="1" min="10" max="10"/>
    <col width="13" customWidth="1" min="11" max="11"/>
    <col width="13" customWidth="1" min="12" max="12"/>
    <col width="28" customWidth="1" min="13" max="13"/>
    <col width="14" customWidth="1" min="14" max="14"/>
    <col width="12" customWidth="1" min="15" max="15"/>
  </cols>
  <sheetData>
    <row r="1" ht="22" customHeight="1">
      <c r="B1" s="23" t="inlineStr">
        <is>
          <t>光伏自发自用经济测算 v1.0 · 介子九维 JIEZIJIUWEI</t>
        </is>
      </c>
    </row>
    <row r="2" ht="13" customHeight="1">
      <c r="B2" s="24" t="inlineStr">
        <is>
          <t>输入区（黄底蓝字单元格可修改；单元格批注含填报说明）</t>
        </is>
      </c>
    </row>
    <row r="3" ht="18" customHeight="1">
      <c r="B3" s="25" t="inlineStr">
        <is>
          <t>参数</t>
        </is>
      </c>
      <c r="C3" s="25" t="inlineStr">
        <is>
          <t>数值</t>
        </is>
      </c>
      <c r="D3" s="25" t="inlineStr">
        <is>
          <t>单位</t>
        </is>
      </c>
      <c r="G3" s="25" t="inlineStr">
        <is>
          <t>月份</t>
        </is>
      </c>
      <c r="H3" s="25" t="inlineStr">
        <is>
          <t>丰枯</t>
        </is>
      </c>
      <c r="I3" s="25" t="inlineStr">
        <is>
          <t>发电量占比</t>
        </is>
      </c>
      <c r="J3" s="25" t="inlineStr">
        <is>
          <t>自用比例</t>
        </is>
      </c>
      <c r="K3" s="25" t="inlineStr">
        <is>
          <t>到户电度价</t>
        </is>
      </c>
      <c r="M3" s="26" t="inlineStr">
        <is>
          <t>关键指标</t>
        </is>
      </c>
      <c r="N3" s="27" t="n"/>
      <c r="O3" s="27" t="n"/>
    </row>
    <row r="4" ht="18" customHeight="1">
      <c r="B4" s="26" t="inlineStr">
        <is>
          <t>模式开关</t>
        </is>
      </c>
      <c r="C4" s="27" t="n"/>
      <c r="D4" s="27" t="n"/>
      <c r="G4" s="28" t="inlineStr">
        <is>
          <t>1月</t>
        </is>
      </c>
      <c r="H4" s="29" t="inlineStr">
        <is>
          <t>枯水期</t>
        </is>
      </c>
      <c r="I4" s="30" t="n">
        <v>0.08599999999999999</v>
      </c>
      <c r="J4" s="30" t="n">
        <v>0.95</v>
      </c>
      <c r="K4" s="31" t="n">
        <v>0.45</v>
      </c>
      <c r="M4" s="32" t="inlineStr">
        <is>
          <t>全投资内部收益率（税前）</t>
        </is>
      </c>
      <c r="N4" s="33">
        <f>_zvfwiv</f>
        <v/>
      </c>
      <c r="O4" s="34" t="inlineStr"/>
    </row>
    <row r="5" ht="15.5" customHeight="1">
      <c r="B5" s="28" t="inlineStr">
        <is>
          <t>所得税三免三减半</t>
        </is>
      </c>
      <c r="C5" s="29" t="inlineStr">
        <is>
          <t>是</t>
        </is>
      </c>
      <c r="D5" s="24" t="inlineStr"/>
      <c r="G5" s="28" t="inlineStr">
        <is>
          <t>2月</t>
        </is>
      </c>
      <c r="H5" s="29" t="inlineStr">
        <is>
          <t>枯水期</t>
        </is>
      </c>
      <c r="I5" s="30" t="n">
        <v>0.089</v>
      </c>
      <c r="J5" s="30" t="n">
        <v>0.95</v>
      </c>
      <c r="K5" s="31" t="n">
        <v>0.45</v>
      </c>
      <c r="M5" s="35" t="inlineStr">
        <is>
          <t>全投资内部收益率（税后）</t>
        </is>
      </c>
      <c r="N5" s="36">
        <f>_z3ewnh</f>
        <v/>
      </c>
      <c r="O5" s="37" t="inlineStr">
        <is>
          <t>主评价指标</t>
        </is>
      </c>
    </row>
    <row r="6" ht="15.5" customHeight="1">
      <c r="G6" s="28" t="inlineStr">
        <is>
          <t>3月</t>
        </is>
      </c>
      <c r="H6" s="29" t="inlineStr">
        <is>
          <t>枯水期</t>
        </is>
      </c>
      <c r="I6" s="30" t="n">
        <v>0.103</v>
      </c>
      <c r="J6" s="30" t="n">
        <v>0.95</v>
      </c>
      <c r="K6" s="31" t="n">
        <v>0.45</v>
      </c>
      <c r="M6" s="35" t="inlineStr">
        <is>
          <t>资本金内部收益率</t>
        </is>
      </c>
      <c r="N6" s="36">
        <f>_z2tbwe</f>
        <v/>
      </c>
      <c r="O6" s="37" t="inlineStr"/>
    </row>
    <row r="7" ht="18" customHeight="1">
      <c r="B7" s="26" t="inlineStr">
        <is>
          <t>A 项目与发电</t>
        </is>
      </c>
      <c r="C7" s="27" t="n"/>
      <c r="D7" s="27" t="n"/>
      <c r="G7" s="28" t="inlineStr">
        <is>
          <t>4月</t>
        </is>
      </c>
      <c r="H7" s="29" t="inlineStr">
        <is>
          <t>枯水期</t>
        </is>
      </c>
      <c r="I7" s="30" t="n">
        <v>0.1</v>
      </c>
      <c r="J7" s="30" t="n">
        <v>0.95</v>
      </c>
      <c r="K7" s="31" t="n">
        <v>0.45</v>
      </c>
      <c r="M7" s="35" t="inlineStr">
        <is>
          <t>净现值（税后全投资）</t>
        </is>
      </c>
      <c r="N7" s="38">
        <f>_z7kil5</f>
        <v/>
      </c>
      <c r="O7" s="37" t="inlineStr">
        <is>
          <t>万元</t>
        </is>
      </c>
    </row>
    <row r="8" ht="15.5" customHeight="1">
      <c r="B8" s="28" t="inlineStr">
        <is>
          <t>装机容量</t>
        </is>
      </c>
      <c r="C8" s="39" t="n">
        <v>20</v>
      </c>
      <c r="D8" s="24" t="inlineStr">
        <is>
          <t>MW</t>
        </is>
      </c>
      <c r="G8" s="28" t="inlineStr">
        <is>
          <t>5月</t>
        </is>
      </c>
      <c r="H8" s="29" t="inlineStr">
        <is>
          <t>枯水期</t>
        </is>
      </c>
      <c r="I8" s="30" t="n">
        <v>0.094</v>
      </c>
      <c r="J8" s="30" t="n">
        <v>0.95</v>
      </c>
      <c r="K8" s="31" t="n">
        <v>0.45</v>
      </c>
      <c r="M8" s="35" t="inlineStr">
        <is>
          <t>静态回收期</t>
        </is>
      </c>
      <c r="N8" s="40">
        <f>_z2mnkr</f>
        <v/>
      </c>
      <c r="O8" s="37" t="inlineStr">
        <is>
          <t>年</t>
        </is>
      </c>
    </row>
    <row r="9" ht="15.5" customHeight="1">
      <c r="B9" s="28" t="inlineStr">
        <is>
          <t>首年利用小时数</t>
        </is>
      </c>
      <c r="C9" s="39" t="n">
        <v>1250</v>
      </c>
      <c r="D9" s="24" t="inlineStr">
        <is>
          <t>h</t>
        </is>
      </c>
      <c r="G9" s="28" t="inlineStr">
        <is>
          <t>6月</t>
        </is>
      </c>
      <c r="H9" s="29" t="inlineStr">
        <is>
          <t>丰水期</t>
        </is>
      </c>
      <c r="I9" s="30" t="n">
        <v>0.07199999999999999</v>
      </c>
      <c r="J9" s="30" t="n">
        <v>0.95</v>
      </c>
      <c r="K9" s="31" t="n">
        <v>0.32</v>
      </c>
      <c r="M9" s="35" t="inlineStr">
        <is>
          <t>度电成本 LCOE</t>
        </is>
      </c>
      <c r="N9" s="41">
        <f>_zehl1m</f>
        <v/>
      </c>
      <c r="O9" s="37" t="inlineStr">
        <is>
          <t>元/kWh</t>
        </is>
      </c>
    </row>
    <row r="10" ht="15.5" customHeight="1">
      <c r="B10" s="28" t="inlineStr">
        <is>
          <t>年出力衰减率</t>
        </is>
      </c>
      <c r="C10" s="42" t="n">
        <v>0.006</v>
      </c>
      <c r="D10" s="24" t="inlineStr">
        <is>
          <t>%</t>
        </is>
      </c>
      <c r="G10" s="28" t="inlineStr">
        <is>
          <t>7月</t>
        </is>
      </c>
      <c r="H10" s="29" t="inlineStr">
        <is>
          <t>丰水期</t>
        </is>
      </c>
      <c r="I10" s="30" t="n">
        <v>0.068</v>
      </c>
      <c r="J10" s="30" t="n">
        <v>0.95</v>
      </c>
      <c r="K10" s="31" t="n">
        <v>0.32</v>
      </c>
      <c r="M10" s="35" t="inlineStr">
        <is>
          <t>首年发电量</t>
        </is>
      </c>
      <c r="N10" s="38">
        <f>_z15be9</f>
        <v/>
      </c>
      <c r="O10" s="37" t="inlineStr">
        <is>
          <t>万kWh</t>
        </is>
      </c>
    </row>
    <row r="11" ht="15.5" customHeight="1">
      <c r="B11" s="28" t="inlineStr">
        <is>
          <t>运营期</t>
        </is>
      </c>
      <c r="C11" s="43" t="n">
        <v>25</v>
      </c>
      <c r="D11" s="24" t="inlineStr">
        <is>
          <t>年</t>
        </is>
      </c>
      <c r="G11" s="28" t="inlineStr">
        <is>
          <t>8月</t>
        </is>
      </c>
      <c r="H11" s="29" t="inlineStr">
        <is>
          <t>丰水期</t>
        </is>
      </c>
      <c r="I11" s="30" t="n">
        <v>0.073</v>
      </c>
      <c r="J11" s="30" t="n">
        <v>0.95</v>
      </c>
      <c r="K11" s="31" t="n">
        <v>0.32</v>
      </c>
      <c r="M11" s="35" t="inlineStr">
        <is>
          <t>综合自用比例</t>
        </is>
      </c>
      <c r="N11" s="44">
        <f>_z3oe3u</f>
        <v/>
      </c>
      <c r="O11" s="37" t="inlineStr"/>
    </row>
    <row r="12" ht="15.5" customHeight="1">
      <c r="G12" s="28" t="inlineStr">
        <is>
          <t>9月</t>
        </is>
      </c>
      <c r="H12" s="29" t="inlineStr">
        <is>
          <t>丰水期</t>
        </is>
      </c>
      <c r="I12" s="30" t="n">
        <v>0.06900000000000001</v>
      </c>
      <c r="J12" s="30" t="n">
        <v>0.95</v>
      </c>
      <c r="K12" s="31" t="n">
        <v>0.32</v>
      </c>
      <c r="M12" s="35" t="inlineStr">
        <is>
          <t>自用电量加权结算价</t>
        </is>
      </c>
      <c r="N12" s="41">
        <f>_z1b5au</f>
        <v/>
      </c>
      <c r="O12" s="37" t="inlineStr">
        <is>
          <t>元/kWh</t>
        </is>
      </c>
    </row>
    <row r="13" ht="18" customHeight="1">
      <c r="B13" s="26" t="inlineStr">
        <is>
          <t>B 结算价格</t>
        </is>
      </c>
      <c r="C13" s="27" t="n"/>
      <c r="D13" s="27" t="n"/>
      <c r="G13" s="28" t="inlineStr">
        <is>
          <t>10月</t>
        </is>
      </c>
      <c r="H13" s="29" t="inlineStr">
        <is>
          <t>丰水期</t>
        </is>
      </c>
      <c r="I13" s="30" t="n">
        <v>0.076</v>
      </c>
      <c r="J13" s="30" t="n">
        <v>0.95</v>
      </c>
      <c r="K13" s="31" t="n">
        <v>0.32</v>
      </c>
      <c r="M13" s="35" t="inlineStr">
        <is>
          <t>首年自用节省额（对照目录价）</t>
        </is>
      </c>
      <c r="N13" s="38">
        <f>_z31z7o</f>
        <v/>
      </c>
      <c r="O13" s="37" t="inlineStr">
        <is>
          <t>万元</t>
        </is>
      </c>
    </row>
    <row r="14" ht="15.5" customHeight="1">
      <c r="B14" s="28" t="inlineStr">
        <is>
          <t>丰水期折扣系数</t>
        </is>
      </c>
      <c r="C14" s="39" t="n">
        <v>0.87</v>
      </c>
      <c r="D14" s="24" t="inlineStr"/>
      <c r="G14" s="28" t="inlineStr">
        <is>
          <t>11月</t>
        </is>
      </c>
      <c r="H14" s="29" t="inlineStr">
        <is>
          <t>枯水期</t>
        </is>
      </c>
      <c r="I14" s="30" t="n">
        <v>0.082</v>
      </c>
      <c r="J14" s="30" t="n">
        <v>0.95</v>
      </c>
      <c r="K14" s="31" t="n">
        <v>0.45</v>
      </c>
      <c r="M14" s="35" t="inlineStr">
        <is>
          <t>触发地板价月份数</t>
        </is>
      </c>
      <c r="N14" s="45">
        <f>_zq09n0</f>
        <v/>
      </c>
      <c r="O14" s="37" t="inlineStr">
        <is>
          <t>个月</t>
        </is>
      </c>
    </row>
    <row r="15" ht="15.5" customHeight="1">
      <c r="B15" s="28" t="inlineStr">
        <is>
          <t>枯水期折扣系数</t>
        </is>
      </c>
      <c r="C15" s="39" t="n">
        <v>0.93</v>
      </c>
      <c r="D15" s="24" t="inlineStr"/>
      <c r="G15" s="28" t="inlineStr">
        <is>
          <t>12月</t>
        </is>
      </c>
      <c r="H15" s="29" t="inlineStr">
        <is>
          <t>枯水期</t>
        </is>
      </c>
      <c r="I15" s="30" t="n">
        <v>0.08799999999999999</v>
      </c>
      <c r="J15" s="30" t="n">
        <v>0.95</v>
      </c>
      <c r="K15" s="31" t="n">
        <v>0.45</v>
      </c>
      <c r="M15" s="35" t="inlineStr">
        <is>
          <t>总投资</t>
        </is>
      </c>
      <c r="N15" s="38">
        <f>_z6ga35</f>
        <v/>
      </c>
      <c r="O15" s="37" t="inlineStr">
        <is>
          <t>万元</t>
        </is>
      </c>
    </row>
    <row r="16" ht="15.5" customHeight="1">
      <c r="B16" s="28" t="inlineStr">
        <is>
          <t>结算地板价</t>
        </is>
      </c>
      <c r="C16" s="39" t="n">
        <v>0.15</v>
      </c>
      <c r="D16" s="24" t="inlineStr">
        <is>
          <t>元/kWh</t>
        </is>
      </c>
      <c r="G16" s="28" t="inlineStr">
        <is>
          <t>合计</t>
        </is>
      </c>
      <c r="I16" s="46">
        <f>SUM(I4:I15)</f>
        <v/>
      </c>
      <c r="M16" s="35" t="inlineStr">
        <is>
          <t>资本金</t>
        </is>
      </c>
      <c r="N16" s="38">
        <f>_zn0hoh</f>
        <v/>
      </c>
      <c r="O16" s="37" t="inlineStr">
        <is>
          <t>万元</t>
        </is>
      </c>
    </row>
    <row r="17" ht="15.5" customHeight="1">
      <c r="B17" s="28" t="inlineStr">
        <is>
          <t>余电上网电价</t>
        </is>
      </c>
      <c r="C17" s="39" t="n">
        <v>0.2</v>
      </c>
      <c r="D17" s="24" t="inlineStr">
        <is>
          <t>元/kWh</t>
        </is>
      </c>
      <c r="G17" s="47">
        <f>IF(ABS(SUM(I4:I15)-1)&gt;0.001,"发电量占比合计应为100%","")</f>
        <v/>
      </c>
      <c r="M17" s="48" t="inlineStr">
        <is>
          <t>贷款</t>
        </is>
      </c>
      <c r="N17" s="49">
        <f>_zmqr32</f>
        <v/>
      </c>
      <c r="O17" s="50" t="inlineStr">
        <is>
          <t>万元</t>
        </is>
      </c>
    </row>
    <row r="18" ht="15.5" customHeight="1"/>
    <row r="19" ht="18" customHeight="1">
      <c r="B19" s="26" t="inlineStr">
        <is>
          <t>C 成本</t>
        </is>
      </c>
      <c r="C19" s="27" t="n"/>
      <c r="D19" s="27" t="n"/>
      <c r="M19" s="51" t="inlineStr">
        <is>
          <t>首年成本构成（万元）</t>
        </is>
      </c>
      <c r="N19" s="52" t="n"/>
      <c r="O19" s="53" t="n"/>
    </row>
    <row r="20" ht="15.5" customHeight="1">
      <c r="B20" s="28" t="inlineStr">
        <is>
          <t>单位造价</t>
        </is>
      </c>
      <c r="C20" s="39" t="n">
        <v>2.8</v>
      </c>
      <c r="D20" s="24" t="inlineStr">
        <is>
          <t>元/W</t>
        </is>
      </c>
      <c r="M20" s="35" t="inlineStr">
        <is>
          <t>经营成本</t>
        </is>
      </c>
      <c r="N20" s="38">
        <f>INDEX(_zt4bk0,1)</f>
        <v/>
      </c>
      <c r="O20" s="54" t="n"/>
    </row>
    <row r="21" ht="15.5" customHeight="1">
      <c r="B21" s="28" t="inlineStr">
        <is>
          <t>年运维费</t>
        </is>
      </c>
      <c r="C21" s="39" t="n">
        <v>3</v>
      </c>
      <c r="D21" s="24" t="inlineStr">
        <is>
          <t>万元/MW·年</t>
        </is>
      </c>
      <c r="M21" s="35" t="inlineStr">
        <is>
          <t>折旧</t>
        </is>
      </c>
      <c r="N21" s="38">
        <f>'_引擎'!M42</f>
        <v/>
      </c>
      <c r="O21" s="54" t="n"/>
    </row>
    <row r="22" ht="15.5" customHeight="1">
      <c r="B22" s="28" t="inlineStr">
        <is>
          <t>保险费率</t>
        </is>
      </c>
      <c r="C22" s="42" t="n">
        <v>0.0025</v>
      </c>
      <c r="D22" s="24" t="inlineStr">
        <is>
          <t>%</t>
        </is>
      </c>
      <c r="M22" s="35" t="inlineStr">
        <is>
          <t>利息</t>
        </is>
      </c>
      <c r="N22" s="38">
        <f>'_引擎'!O42</f>
        <v/>
      </c>
      <c r="O22" s="54" t="n"/>
    </row>
    <row r="23" ht="15.5" customHeight="1">
      <c r="B23" s="28" t="inlineStr">
        <is>
          <t>屋顶租金</t>
        </is>
      </c>
      <c r="C23" s="39" t="n">
        <v>0.05</v>
      </c>
      <c r="D23" s="24" t="inlineStr">
        <is>
          <t>元/W·年</t>
        </is>
      </c>
      <c r="M23" s="35" t="inlineStr">
        <is>
          <t>实缴增值税</t>
        </is>
      </c>
      <c r="N23" s="38">
        <f>'_引擎'!S42</f>
        <v/>
      </c>
      <c r="O23" s="54" t="n"/>
    </row>
    <row r="24" ht="15.5" customHeight="1">
      <c r="B24" s="28" t="inlineStr">
        <is>
          <t>逆变器更换年份</t>
        </is>
      </c>
      <c r="C24" s="43" t="n">
        <v>12</v>
      </c>
      <c r="D24" s="24" t="inlineStr">
        <is>
          <t>第N年</t>
        </is>
      </c>
      <c r="M24" s="35" t="inlineStr">
        <is>
          <t>附加税费</t>
        </is>
      </c>
      <c r="N24" s="38">
        <f>'_引擎'!V42</f>
        <v/>
      </c>
      <c r="O24" s="54" t="n"/>
    </row>
    <row r="25" ht="15.5" customHeight="1">
      <c r="B25" s="28" t="inlineStr">
        <is>
          <t>逆变器更换费用</t>
        </is>
      </c>
      <c r="C25" s="39" t="n">
        <v>0.15</v>
      </c>
      <c r="D25" s="24" t="inlineStr">
        <is>
          <t>元/W</t>
        </is>
      </c>
      <c r="M25" s="35" t="inlineStr">
        <is>
          <t>所得税</t>
        </is>
      </c>
      <c r="N25" s="38">
        <f>'_引擎'!AG42</f>
        <v/>
      </c>
      <c r="O25" s="54" t="n"/>
    </row>
    <row r="26" ht="15.5" customHeight="1">
      <c r="B26" s="28" t="inlineStr">
        <is>
          <t>其他年度费用</t>
        </is>
      </c>
      <c r="C26" s="39" t="n">
        <v>10</v>
      </c>
      <c r="D26" s="24" t="inlineStr">
        <is>
          <t>万元/年</t>
        </is>
      </c>
      <c r="M26" s="55" t="n"/>
      <c r="N26" s="56" t="n"/>
      <c r="O26" s="54" t="n"/>
    </row>
    <row r="27" ht="18" customHeight="1">
      <c r="M27" s="57" t="inlineStr">
        <is>
          <t>年度经营成本构成（万元）</t>
        </is>
      </c>
      <c r="N27" s="58" t="n"/>
      <c r="O27" s="59" t="n"/>
    </row>
    <row r="28" ht="18" customHeight="1">
      <c r="B28" s="26" t="inlineStr">
        <is>
          <t>D 税务与财务</t>
        </is>
      </c>
      <c r="C28" s="27" t="n"/>
      <c r="D28" s="27" t="n"/>
      <c r="M28" s="35" t="inlineStr">
        <is>
          <t>运维费</t>
        </is>
      </c>
      <c r="N28" s="38">
        <f>_zyev25*_zbhogy</f>
        <v/>
      </c>
      <c r="O28" s="54" t="n"/>
    </row>
    <row r="29" ht="15.5" customHeight="1">
      <c r="B29" s="28" t="inlineStr">
        <is>
          <t>可抵扣进项税比例</t>
        </is>
      </c>
      <c r="C29" s="42" t="n">
        <v>0.1</v>
      </c>
      <c r="D29" s="24" t="inlineStr">
        <is>
          <t>%</t>
        </is>
      </c>
      <c r="M29" s="35" t="inlineStr">
        <is>
          <t>保险费</t>
        </is>
      </c>
      <c r="N29" s="38">
        <f>_z6ga35*_zj6im6</f>
        <v/>
      </c>
      <c r="O29" s="54" t="n"/>
    </row>
    <row r="30" ht="15.5" customHeight="1">
      <c r="B30" s="28" t="inlineStr">
        <is>
          <t>附加税费率</t>
        </is>
      </c>
      <c r="C30" s="42" t="n">
        <v>0.12</v>
      </c>
      <c r="D30" s="24" t="inlineStr">
        <is>
          <t>%</t>
        </is>
      </c>
      <c r="M30" s="35" t="inlineStr">
        <is>
          <t>屋顶租金</t>
        </is>
      </c>
      <c r="N30" s="38">
        <f>_zyev25*100*_zm3b2j</f>
        <v/>
      </c>
      <c r="O30" s="54" t="n"/>
    </row>
    <row r="31" ht="15.5" customHeight="1">
      <c r="B31" s="28" t="inlineStr">
        <is>
          <t>所得税率</t>
        </is>
      </c>
      <c r="C31" s="42" t="n">
        <v>0.25</v>
      </c>
      <c r="D31" s="24" t="inlineStr">
        <is>
          <t>%</t>
        </is>
      </c>
      <c r="M31" s="35" t="inlineStr">
        <is>
          <t>其他年度费用</t>
        </is>
      </c>
      <c r="N31" s="38">
        <f>_z9dtod</f>
        <v/>
      </c>
      <c r="O31" s="54" t="n"/>
    </row>
    <row r="32" ht="15.5" customHeight="1">
      <c r="B32" s="28" t="inlineStr">
        <is>
          <t>折旧年限</t>
        </is>
      </c>
      <c r="C32" s="43" t="n">
        <v>20</v>
      </c>
      <c r="D32" s="24" t="inlineStr">
        <is>
          <t>年</t>
        </is>
      </c>
      <c r="M32" s="55" t="n"/>
      <c r="N32" s="56" t="n"/>
      <c r="O32" s="54" t="n"/>
    </row>
    <row r="33" ht="18" customHeight="1">
      <c r="B33" s="28" t="inlineStr">
        <is>
          <t>残值率</t>
        </is>
      </c>
      <c r="C33" s="42" t="n">
        <v>0.05</v>
      </c>
      <c r="D33" s="24" t="inlineStr">
        <is>
          <t>%</t>
        </is>
      </c>
      <c r="M33" s="57" t="inlineStr">
        <is>
          <t>月度电量结构（首年，万kWh）</t>
        </is>
      </c>
      <c r="N33" s="58" t="n"/>
      <c r="O33" s="59" t="n"/>
      <c r="P33" s="27" t="n"/>
    </row>
    <row r="34" ht="18" customHeight="1">
      <c r="B34" s="28" t="inlineStr">
        <is>
          <t>资本金比例</t>
        </is>
      </c>
      <c r="C34" s="42" t="n">
        <v>0.3</v>
      </c>
      <c r="D34" s="24" t="inlineStr">
        <is>
          <t>%</t>
        </is>
      </c>
      <c r="M34" s="60" t="inlineStr">
        <is>
          <t>月份</t>
        </is>
      </c>
      <c r="N34" s="25" t="inlineStr">
        <is>
          <t>自用</t>
        </is>
      </c>
      <c r="O34" s="61" t="inlineStr">
        <is>
          <t>上网</t>
        </is>
      </c>
    </row>
    <row r="35" ht="15.5" customHeight="1">
      <c r="B35" s="28" t="inlineStr">
        <is>
          <t>贷款利率</t>
        </is>
      </c>
      <c r="C35" s="42" t="n">
        <v>0.035</v>
      </c>
      <c r="D35" s="24" t="inlineStr">
        <is>
          <t>%</t>
        </is>
      </c>
      <c r="M35" s="35" t="inlineStr">
        <is>
          <t>1月</t>
        </is>
      </c>
      <c r="N35" s="38">
        <f>_z15be9*'测算'!$I$4*'测算'!$J$4</f>
        <v/>
      </c>
      <c r="O35" s="62">
        <f>_z15be9*'测算'!$I$4*(1-'测算'!$J$4)</f>
        <v/>
      </c>
    </row>
    <row r="36" ht="15.5" customHeight="1">
      <c r="B36" s="28" t="inlineStr">
        <is>
          <t>贷款年限</t>
        </is>
      </c>
      <c r="C36" s="43" t="n">
        <v>15</v>
      </c>
      <c r="D36" s="24" t="inlineStr">
        <is>
          <t>年</t>
        </is>
      </c>
      <c r="M36" s="35" t="inlineStr">
        <is>
          <t>2月</t>
        </is>
      </c>
      <c r="N36" s="38">
        <f>_z15be9*'测算'!$I$5*'测算'!$J$5</f>
        <v/>
      </c>
      <c r="O36" s="62">
        <f>_z15be9*'测算'!$I$5*(1-'测算'!$J$5)</f>
        <v/>
      </c>
    </row>
    <row r="37" ht="15.5" customHeight="1">
      <c r="B37" s="28" t="inlineStr">
        <is>
          <t>基准折现率</t>
        </is>
      </c>
      <c r="C37" s="42" t="n">
        <v>0.06</v>
      </c>
      <c r="D37" s="24" t="inlineStr">
        <is>
          <t>%</t>
        </is>
      </c>
      <c r="M37" s="35" t="inlineStr">
        <is>
          <t>3月</t>
        </is>
      </c>
      <c r="N37" s="38">
        <f>_z15be9*'测算'!$I$6*'测算'!$J$6</f>
        <v/>
      </c>
      <c r="O37" s="62">
        <f>_z15be9*'测算'!$I$6*(1-'测算'!$J$6)</f>
        <v/>
      </c>
    </row>
    <row r="38" ht="15.5" customHeight="1">
      <c r="M38" s="35" t="inlineStr">
        <is>
          <t>4月</t>
        </is>
      </c>
      <c r="N38" s="38">
        <f>_z15be9*'测算'!$I$7*'测算'!$J$7</f>
        <v/>
      </c>
      <c r="O38" s="62">
        <f>_z15be9*'测算'!$I$7*(1-'测算'!$J$7)</f>
        <v/>
      </c>
    </row>
    <row r="39" ht="15.5" customHeight="1">
      <c r="B39" s="47">
        <f>IF(_zbwnle&gt;25,"运营期超过25年上限：年度现金流表最长25年，当前结果不完整，请修改运营期或用介子九维小程序测算","")</f>
        <v/>
      </c>
      <c r="M39" s="35" t="inlineStr">
        <is>
          <t>5月</t>
        </is>
      </c>
      <c r="N39" s="38">
        <f>_z15be9*'测算'!$I$8*'测算'!$J$8</f>
        <v/>
      </c>
      <c r="O39" s="62">
        <f>_z15be9*'测算'!$I$8*(1-'测算'!$J$8)</f>
        <v/>
      </c>
    </row>
    <row r="40" ht="15.5" customHeight="1">
      <c r="M40" s="35" t="inlineStr">
        <is>
          <t>6月</t>
        </is>
      </c>
      <c r="N40" s="38">
        <f>_z15be9*'测算'!$I$9*'测算'!$J$9</f>
        <v/>
      </c>
      <c r="O40" s="62">
        <f>_z15be9*'测算'!$I$9*(1-'测算'!$J$9)</f>
        <v/>
      </c>
    </row>
    <row r="41" ht="15.5" customHeight="1">
      <c r="M41" s="35" t="inlineStr">
        <is>
          <t>7月</t>
        </is>
      </c>
      <c r="N41" s="38">
        <f>_z15be9*'测算'!$I$10*'测算'!$J$10</f>
        <v/>
      </c>
      <c r="O41" s="62">
        <f>_z15be9*'测算'!$I$10*(1-'测算'!$J$10)</f>
        <v/>
      </c>
    </row>
    <row r="42" ht="15.5" customHeight="1">
      <c r="M42" s="35" t="inlineStr">
        <is>
          <t>8月</t>
        </is>
      </c>
      <c r="N42" s="38">
        <f>_z15be9*'测算'!$I$11*'测算'!$J$11</f>
        <v/>
      </c>
      <c r="O42" s="62">
        <f>_z15be9*'测算'!$I$11*(1-'测算'!$J$11)</f>
        <v/>
      </c>
    </row>
    <row r="43" ht="15.5" customHeight="1">
      <c r="M43" s="35" t="inlineStr">
        <is>
          <t>9月</t>
        </is>
      </c>
      <c r="N43" s="38">
        <f>_z15be9*'测算'!$I$12*'测算'!$J$12</f>
        <v/>
      </c>
      <c r="O43" s="62">
        <f>_z15be9*'测算'!$I$12*(1-'测算'!$J$12)</f>
        <v/>
      </c>
    </row>
    <row r="44" ht="15.5" customHeight="1">
      <c r="M44" s="35" t="inlineStr">
        <is>
          <t>10月</t>
        </is>
      </c>
      <c r="N44" s="38">
        <f>_z15be9*'测算'!$I$13*'测算'!$J$13</f>
        <v/>
      </c>
      <c r="O44" s="62">
        <f>_z15be9*'测算'!$I$13*(1-'测算'!$J$13)</f>
        <v/>
      </c>
    </row>
    <row r="45" ht="15.5" customHeight="1">
      <c r="M45" s="35" t="inlineStr">
        <is>
          <t>11月</t>
        </is>
      </c>
      <c r="N45" s="38">
        <f>_z15be9*'测算'!$I$14*'测算'!$J$14</f>
        <v/>
      </c>
      <c r="O45" s="62">
        <f>_z15be9*'测算'!$I$14*(1-'测算'!$J$14)</f>
        <v/>
      </c>
    </row>
    <row r="46" ht="15.5" customHeight="1">
      <c r="M46" s="48" t="inlineStr">
        <is>
          <t>12月</t>
        </is>
      </c>
      <c r="N46" s="49">
        <f>_z15be9*'测算'!$I$15*'测算'!$J$15</f>
        <v/>
      </c>
      <c r="O46" s="63">
        <f>_z15be9*'测算'!$I$15*(1-'测算'!$J$15)</f>
        <v/>
      </c>
    </row>
    <row r="47" ht="15.5" customHeight="1"/>
    <row r="48" ht="18" customHeight="1">
      <c r="B48" s="26" t="inlineStr">
        <is>
          <t>逐年现金流（万元）</t>
        </is>
      </c>
      <c r="C48" s="27" t="n"/>
      <c r="D48" s="27" t="n"/>
    </row>
    <row r="49" ht="30" customHeight="1">
      <c r="B49" s="64" t="inlineStr">
        <is>
          <t>年份</t>
        </is>
      </c>
      <c r="C49" s="65" t="inlineStr">
        <is>
          <t>发电量（万kWh）</t>
        </is>
      </c>
      <c r="D49" s="65" t="inlineStr">
        <is>
          <t>含税收入</t>
        </is>
      </c>
      <c r="E49" s="65" t="inlineStr">
        <is>
          <t>经营成本</t>
        </is>
      </c>
      <c r="F49" s="65" t="inlineStr">
        <is>
          <t>折旧</t>
        </is>
      </c>
      <c r="G49" s="65" t="inlineStr">
        <is>
          <t>利息</t>
        </is>
      </c>
      <c r="H49" s="65" t="inlineStr">
        <is>
          <t>实缴增值税</t>
        </is>
      </c>
      <c r="I49" s="65" t="inlineStr">
        <is>
          <t>附加税费</t>
        </is>
      </c>
      <c r="J49" s="65" t="inlineStr">
        <is>
          <t>所得税</t>
        </is>
      </c>
      <c r="K49" s="65" t="inlineStr">
        <is>
          <t>期末回收</t>
        </is>
      </c>
      <c r="L49" s="65" t="inlineStr">
        <is>
          <t>税后全投资净现金流</t>
        </is>
      </c>
      <c r="M49" s="65" t="inlineStr">
        <is>
          <t>累计</t>
        </is>
      </c>
      <c r="N49" s="66" t="inlineStr">
        <is>
          <t>资本金净现金流</t>
        </is>
      </c>
    </row>
    <row r="50" ht="15.5" customHeight="1">
      <c r="B50" s="67" t="n">
        <v>0</v>
      </c>
      <c r="C50" s="38">
        <f>'_引擎'!D41</f>
        <v/>
      </c>
      <c r="D50" s="38">
        <f>'_引擎'!G41</f>
        <v/>
      </c>
      <c r="E50" s="38">
        <f>'_引擎'!K41</f>
        <v/>
      </c>
      <c r="F50" s="38">
        <f>'_引擎'!M41</f>
        <v/>
      </c>
      <c r="G50" s="38">
        <f>'_引擎'!O41</f>
        <v/>
      </c>
      <c r="H50" s="38">
        <f>'_引擎'!S41</f>
        <v/>
      </c>
      <c r="I50" s="38">
        <f>'_引擎'!V41</f>
        <v/>
      </c>
      <c r="J50" s="38">
        <f>'_引擎'!AG41</f>
        <v/>
      </c>
      <c r="K50" s="38">
        <f>'_引擎'!AP41</f>
        <v/>
      </c>
      <c r="L50" s="38">
        <f>'_引擎'!AS41</f>
        <v/>
      </c>
      <c r="M50" s="38">
        <f>'_引擎'!AU41</f>
        <v/>
      </c>
      <c r="N50" s="62">
        <f>'_引擎'!AT41</f>
        <v/>
      </c>
    </row>
    <row r="51" ht="15.5" customHeight="1">
      <c r="B51" s="67" t="n">
        <v>1</v>
      </c>
      <c r="C51" s="38">
        <f>'_引擎'!D42</f>
        <v/>
      </c>
      <c r="D51" s="38">
        <f>'_引擎'!G42</f>
        <v/>
      </c>
      <c r="E51" s="38">
        <f>'_引擎'!K42</f>
        <v/>
      </c>
      <c r="F51" s="38">
        <f>'_引擎'!M42</f>
        <v/>
      </c>
      <c r="G51" s="38">
        <f>'_引擎'!O42</f>
        <v/>
      </c>
      <c r="H51" s="38">
        <f>'_引擎'!S42</f>
        <v/>
      </c>
      <c r="I51" s="38">
        <f>'_引擎'!V42</f>
        <v/>
      </c>
      <c r="J51" s="38">
        <f>'_引擎'!AG42</f>
        <v/>
      </c>
      <c r="K51" s="38">
        <f>'_引擎'!AP42</f>
        <v/>
      </c>
      <c r="L51" s="38">
        <f>'_引擎'!AS42</f>
        <v/>
      </c>
      <c r="M51" s="38">
        <f>'_引擎'!AU42</f>
        <v/>
      </c>
      <c r="N51" s="62">
        <f>'_引擎'!AT42</f>
        <v/>
      </c>
    </row>
    <row r="52" ht="15.5" customHeight="1">
      <c r="B52" s="67" t="n">
        <v>2</v>
      </c>
      <c r="C52" s="38">
        <f>'_引擎'!D43</f>
        <v/>
      </c>
      <c r="D52" s="38">
        <f>'_引擎'!G43</f>
        <v/>
      </c>
      <c r="E52" s="38">
        <f>'_引擎'!K43</f>
        <v/>
      </c>
      <c r="F52" s="38">
        <f>'_引擎'!M43</f>
        <v/>
      </c>
      <c r="G52" s="38">
        <f>'_引擎'!O43</f>
        <v/>
      </c>
      <c r="H52" s="38">
        <f>'_引擎'!S43</f>
        <v/>
      </c>
      <c r="I52" s="38">
        <f>'_引擎'!V43</f>
        <v/>
      </c>
      <c r="J52" s="38">
        <f>'_引擎'!AG43</f>
        <v/>
      </c>
      <c r="K52" s="38">
        <f>'_引擎'!AP43</f>
        <v/>
      </c>
      <c r="L52" s="38">
        <f>'_引擎'!AS43</f>
        <v/>
      </c>
      <c r="M52" s="38">
        <f>'_引擎'!AU43</f>
        <v/>
      </c>
      <c r="N52" s="62">
        <f>'_引擎'!AT43</f>
        <v/>
      </c>
    </row>
    <row r="53" ht="15.5" customHeight="1">
      <c r="B53" s="67" t="n">
        <v>3</v>
      </c>
      <c r="C53" s="38">
        <f>'_引擎'!D44</f>
        <v/>
      </c>
      <c r="D53" s="38">
        <f>'_引擎'!G44</f>
        <v/>
      </c>
      <c r="E53" s="38">
        <f>'_引擎'!K44</f>
        <v/>
      </c>
      <c r="F53" s="38">
        <f>'_引擎'!M44</f>
        <v/>
      </c>
      <c r="G53" s="38">
        <f>'_引擎'!O44</f>
        <v/>
      </c>
      <c r="H53" s="38">
        <f>'_引擎'!S44</f>
        <v/>
      </c>
      <c r="I53" s="38">
        <f>'_引擎'!V44</f>
        <v/>
      </c>
      <c r="J53" s="38">
        <f>'_引擎'!AG44</f>
        <v/>
      </c>
      <c r="K53" s="38">
        <f>'_引擎'!AP44</f>
        <v/>
      </c>
      <c r="L53" s="38">
        <f>'_引擎'!AS44</f>
        <v/>
      </c>
      <c r="M53" s="38">
        <f>'_引擎'!AU44</f>
        <v/>
      </c>
      <c r="N53" s="62">
        <f>'_引擎'!AT44</f>
        <v/>
      </c>
    </row>
    <row r="54" ht="15.5" customHeight="1">
      <c r="B54" s="67" t="n">
        <v>4</v>
      </c>
      <c r="C54" s="38">
        <f>'_引擎'!D45</f>
        <v/>
      </c>
      <c r="D54" s="38">
        <f>'_引擎'!G45</f>
        <v/>
      </c>
      <c r="E54" s="38">
        <f>'_引擎'!K45</f>
        <v/>
      </c>
      <c r="F54" s="38">
        <f>'_引擎'!M45</f>
        <v/>
      </c>
      <c r="G54" s="38">
        <f>'_引擎'!O45</f>
        <v/>
      </c>
      <c r="H54" s="38">
        <f>'_引擎'!S45</f>
        <v/>
      </c>
      <c r="I54" s="38">
        <f>'_引擎'!V45</f>
        <v/>
      </c>
      <c r="J54" s="38">
        <f>'_引擎'!AG45</f>
        <v/>
      </c>
      <c r="K54" s="38">
        <f>'_引擎'!AP45</f>
        <v/>
      </c>
      <c r="L54" s="38">
        <f>'_引擎'!AS45</f>
        <v/>
      </c>
      <c r="M54" s="38">
        <f>'_引擎'!AU45</f>
        <v/>
      </c>
      <c r="N54" s="62">
        <f>'_引擎'!AT45</f>
        <v/>
      </c>
    </row>
    <row r="55" ht="15.5" customHeight="1">
      <c r="B55" s="67" t="n">
        <v>5</v>
      </c>
      <c r="C55" s="38">
        <f>'_引擎'!D46</f>
        <v/>
      </c>
      <c r="D55" s="38">
        <f>'_引擎'!G46</f>
        <v/>
      </c>
      <c r="E55" s="38">
        <f>'_引擎'!K46</f>
        <v/>
      </c>
      <c r="F55" s="38">
        <f>'_引擎'!M46</f>
        <v/>
      </c>
      <c r="G55" s="38">
        <f>'_引擎'!O46</f>
        <v/>
      </c>
      <c r="H55" s="38">
        <f>'_引擎'!S46</f>
        <v/>
      </c>
      <c r="I55" s="38">
        <f>'_引擎'!V46</f>
        <v/>
      </c>
      <c r="J55" s="38">
        <f>'_引擎'!AG46</f>
        <v/>
      </c>
      <c r="K55" s="38">
        <f>'_引擎'!AP46</f>
        <v/>
      </c>
      <c r="L55" s="38">
        <f>'_引擎'!AS46</f>
        <v/>
      </c>
      <c r="M55" s="38">
        <f>'_引擎'!AU46</f>
        <v/>
      </c>
      <c r="N55" s="62">
        <f>'_引擎'!AT46</f>
        <v/>
      </c>
    </row>
    <row r="56" ht="15.5" customHeight="1">
      <c r="B56" s="67" t="n">
        <v>6</v>
      </c>
      <c r="C56" s="38">
        <f>'_引擎'!D47</f>
        <v/>
      </c>
      <c r="D56" s="38">
        <f>'_引擎'!G47</f>
        <v/>
      </c>
      <c r="E56" s="38">
        <f>'_引擎'!K47</f>
        <v/>
      </c>
      <c r="F56" s="38">
        <f>'_引擎'!M47</f>
        <v/>
      </c>
      <c r="G56" s="38">
        <f>'_引擎'!O47</f>
        <v/>
      </c>
      <c r="H56" s="38">
        <f>'_引擎'!S47</f>
        <v/>
      </c>
      <c r="I56" s="38">
        <f>'_引擎'!V47</f>
        <v/>
      </c>
      <c r="J56" s="38">
        <f>'_引擎'!AG47</f>
        <v/>
      </c>
      <c r="K56" s="38">
        <f>'_引擎'!AP47</f>
        <v/>
      </c>
      <c r="L56" s="38">
        <f>'_引擎'!AS47</f>
        <v/>
      </c>
      <c r="M56" s="38">
        <f>'_引擎'!AU47</f>
        <v/>
      </c>
      <c r="N56" s="62">
        <f>'_引擎'!AT47</f>
        <v/>
      </c>
    </row>
    <row r="57" ht="15.5" customHeight="1">
      <c r="B57" s="67" t="n">
        <v>7</v>
      </c>
      <c r="C57" s="38">
        <f>'_引擎'!D48</f>
        <v/>
      </c>
      <c r="D57" s="38">
        <f>'_引擎'!G48</f>
        <v/>
      </c>
      <c r="E57" s="38">
        <f>'_引擎'!K48</f>
        <v/>
      </c>
      <c r="F57" s="38">
        <f>'_引擎'!M48</f>
        <v/>
      </c>
      <c r="G57" s="38">
        <f>'_引擎'!O48</f>
        <v/>
      </c>
      <c r="H57" s="38">
        <f>'_引擎'!S48</f>
        <v/>
      </c>
      <c r="I57" s="38">
        <f>'_引擎'!V48</f>
        <v/>
      </c>
      <c r="J57" s="38">
        <f>'_引擎'!AG48</f>
        <v/>
      </c>
      <c r="K57" s="38">
        <f>'_引擎'!AP48</f>
        <v/>
      </c>
      <c r="L57" s="38">
        <f>'_引擎'!AS48</f>
        <v/>
      </c>
      <c r="M57" s="38">
        <f>'_引擎'!AU48</f>
        <v/>
      </c>
      <c r="N57" s="62">
        <f>'_引擎'!AT48</f>
        <v/>
      </c>
    </row>
    <row r="58" ht="15.5" customHeight="1">
      <c r="B58" s="67" t="n">
        <v>8</v>
      </c>
      <c r="C58" s="38">
        <f>'_引擎'!D49</f>
        <v/>
      </c>
      <c r="D58" s="38">
        <f>'_引擎'!G49</f>
        <v/>
      </c>
      <c r="E58" s="38">
        <f>'_引擎'!K49</f>
        <v/>
      </c>
      <c r="F58" s="38">
        <f>'_引擎'!M49</f>
        <v/>
      </c>
      <c r="G58" s="38">
        <f>'_引擎'!O49</f>
        <v/>
      </c>
      <c r="H58" s="38">
        <f>'_引擎'!S49</f>
        <v/>
      </c>
      <c r="I58" s="38">
        <f>'_引擎'!V49</f>
        <v/>
      </c>
      <c r="J58" s="38">
        <f>'_引擎'!AG49</f>
        <v/>
      </c>
      <c r="K58" s="38">
        <f>'_引擎'!AP49</f>
        <v/>
      </c>
      <c r="L58" s="38">
        <f>'_引擎'!AS49</f>
        <v/>
      </c>
      <c r="M58" s="38">
        <f>'_引擎'!AU49</f>
        <v/>
      </c>
      <c r="N58" s="62">
        <f>'_引擎'!AT49</f>
        <v/>
      </c>
    </row>
    <row r="59" ht="15.5" customHeight="1">
      <c r="B59" s="67" t="n">
        <v>9</v>
      </c>
      <c r="C59" s="38">
        <f>'_引擎'!D50</f>
        <v/>
      </c>
      <c r="D59" s="38">
        <f>'_引擎'!G50</f>
        <v/>
      </c>
      <c r="E59" s="38">
        <f>'_引擎'!K50</f>
        <v/>
      </c>
      <c r="F59" s="38">
        <f>'_引擎'!M50</f>
        <v/>
      </c>
      <c r="G59" s="38">
        <f>'_引擎'!O50</f>
        <v/>
      </c>
      <c r="H59" s="38">
        <f>'_引擎'!S50</f>
        <v/>
      </c>
      <c r="I59" s="38">
        <f>'_引擎'!V50</f>
        <v/>
      </c>
      <c r="J59" s="38">
        <f>'_引擎'!AG50</f>
        <v/>
      </c>
      <c r="K59" s="38">
        <f>'_引擎'!AP50</f>
        <v/>
      </c>
      <c r="L59" s="38">
        <f>'_引擎'!AS50</f>
        <v/>
      </c>
      <c r="M59" s="38">
        <f>'_引擎'!AU50</f>
        <v/>
      </c>
      <c r="N59" s="62">
        <f>'_引擎'!AT50</f>
        <v/>
      </c>
    </row>
    <row r="60" ht="15.5" customHeight="1">
      <c r="B60" s="67" t="n">
        <v>10</v>
      </c>
      <c r="C60" s="38">
        <f>'_引擎'!D51</f>
        <v/>
      </c>
      <c r="D60" s="38">
        <f>'_引擎'!G51</f>
        <v/>
      </c>
      <c r="E60" s="38">
        <f>'_引擎'!K51</f>
        <v/>
      </c>
      <c r="F60" s="38">
        <f>'_引擎'!M51</f>
        <v/>
      </c>
      <c r="G60" s="38">
        <f>'_引擎'!O51</f>
        <v/>
      </c>
      <c r="H60" s="38">
        <f>'_引擎'!S51</f>
        <v/>
      </c>
      <c r="I60" s="38">
        <f>'_引擎'!V51</f>
        <v/>
      </c>
      <c r="J60" s="38">
        <f>'_引擎'!AG51</f>
        <v/>
      </c>
      <c r="K60" s="38">
        <f>'_引擎'!AP51</f>
        <v/>
      </c>
      <c r="L60" s="38">
        <f>'_引擎'!AS51</f>
        <v/>
      </c>
      <c r="M60" s="38">
        <f>'_引擎'!AU51</f>
        <v/>
      </c>
      <c r="N60" s="62">
        <f>'_引擎'!AT51</f>
        <v/>
      </c>
    </row>
    <row r="61" ht="15.5" customHeight="1">
      <c r="B61" s="67" t="n">
        <v>11</v>
      </c>
      <c r="C61" s="38">
        <f>'_引擎'!D52</f>
        <v/>
      </c>
      <c r="D61" s="38">
        <f>'_引擎'!G52</f>
        <v/>
      </c>
      <c r="E61" s="38">
        <f>'_引擎'!K52</f>
        <v/>
      </c>
      <c r="F61" s="38">
        <f>'_引擎'!M52</f>
        <v/>
      </c>
      <c r="G61" s="38">
        <f>'_引擎'!O52</f>
        <v/>
      </c>
      <c r="H61" s="38">
        <f>'_引擎'!S52</f>
        <v/>
      </c>
      <c r="I61" s="38">
        <f>'_引擎'!V52</f>
        <v/>
      </c>
      <c r="J61" s="38">
        <f>'_引擎'!AG52</f>
        <v/>
      </c>
      <c r="K61" s="38">
        <f>'_引擎'!AP52</f>
        <v/>
      </c>
      <c r="L61" s="38">
        <f>'_引擎'!AS52</f>
        <v/>
      </c>
      <c r="M61" s="38">
        <f>'_引擎'!AU52</f>
        <v/>
      </c>
      <c r="N61" s="62">
        <f>'_引擎'!AT52</f>
        <v/>
      </c>
    </row>
    <row r="62" ht="15.5" customHeight="1">
      <c r="B62" s="67" t="n">
        <v>12</v>
      </c>
      <c r="C62" s="38">
        <f>'_引擎'!D53</f>
        <v/>
      </c>
      <c r="D62" s="38">
        <f>'_引擎'!G53</f>
        <v/>
      </c>
      <c r="E62" s="38">
        <f>'_引擎'!K53</f>
        <v/>
      </c>
      <c r="F62" s="38">
        <f>'_引擎'!M53</f>
        <v/>
      </c>
      <c r="G62" s="38">
        <f>'_引擎'!O53</f>
        <v/>
      </c>
      <c r="H62" s="38">
        <f>'_引擎'!S53</f>
        <v/>
      </c>
      <c r="I62" s="38">
        <f>'_引擎'!V53</f>
        <v/>
      </c>
      <c r="J62" s="38">
        <f>'_引擎'!AG53</f>
        <v/>
      </c>
      <c r="K62" s="38">
        <f>'_引擎'!AP53</f>
        <v/>
      </c>
      <c r="L62" s="38">
        <f>'_引擎'!AS53</f>
        <v/>
      </c>
      <c r="M62" s="38">
        <f>'_引擎'!AU53</f>
        <v/>
      </c>
      <c r="N62" s="62">
        <f>'_引擎'!AT53</f>
        <v/>
      </c>
    </row>
    <row r="63" ht="15.5" customHeight="1">
      <c r="B63" s="67" t="n">
        <v>13</v>
      </c>
      <c r="C63" s="38">
        <f>'_引擎'!D54</f>
        <v/>
      </c>
      <c r="D63" s="38">
        <f>'_引擎'!G54</f>
        <v/>
      </c>
      <c r="E63" s="38">
        <f>'_引擎'!K54</f>
        <v/>
      </c>
      <c r="F63" s="38">
        <f>'_引擎'!M54</f>
        <v/>
      </c>
      <c r="G63" s="38">
        <f>'_引擎'!O54</f>
        <v/>
      </c>
      <c r="H63" s="38">
        <f>'_引擎'!S54</f>
        <v/>
      </c>
      <c r="I63" s="38">
        <f>'_引擎'!V54</f>
        <v/>
      </c>
      <c r="J63" s="38">
        <f>'_引擎'!AG54</f>
        <v/>
      </c>
      <c r="K63" s="38">
        <f>'_引擎'!AP54</f>
        <v/>
      </c>
      <c r="L63" s="38">
        <f>'_引擎'!AS54</f>
        <v/>
      </c>
      <c r="M63" s="38">
        <f>'_引擎'!AU54</f>
        <v/>
      </c>
      <c r="N63" s="62">
        <f>'_引擎'!AT54</f>
        <v/>
      </c>
    </row>
    <row r="64" ht="15.5" customHeight="1">
      <c r="B64" s="67" t="n">
        <v>14</v>
      </c>
      <c r="C64" s="38">
        <f>'_引擎'!D55</f>
        <v/>
      </c>
      <c r="D64" s="38">
        <f>'_引擎'!G55</f>
        <v/>
      </c>
      <c r="E64" s="38">
        <f>'_引擎'!K55</f>
        <v/>
      </c>
      <c r="F64" s="38">
        <f>'_引擎'!M55</f>
        <v/>
      </c>
      <c r="G64" s="38">
        <f>'_引擎'!O55</f>
        <v/>
      </c>
      <c r="H64" s="38">
        <f>'_引擎'!S55</f>
        <v/>
      </c>
      <c r="I64" s="38">
        <f>'_引擎'!V55</f>
        <v/>
      </c>
      <c r="J64" s="38">
        <f>'_引擎'!AG55</f>
        <v/>
      </c>
      <c r="K64" s="38">
        <f>'_引擎'!AP55</f>
        <v/>
      </c>
      <c r="L64" s="38">
        <f>'_引擎'!AS55</f>
        <v/>
      </c>
      <c r="M64" s="38">
        <f>'_引擎'!AU55</f>
        <v/>
      </c>
      <c r="N64" s="62">
        <f>'_引擎'!AT55</f>
        <v/>
      </c>
    </row>
    <row r="65" ht="15.5" customHeight="1">
      <c r="B65" s="67" t="n">
        <v>15</v>
      </c>
      <c r="C65" s="38">
        <f>'_引擎'!D56</f>
        <v/>
      </c>
      <c r="D65" s="38">
        <f>'_引擎'!G56</f>
        <v/>
      </c>
      <c r="E65" s="38">
        <f>'_引擎'!K56</f>
        <v/>
      </c>
      <c r="F65" s="38">
        <f>'_引擎'!M56</f>
        <v/>
      </c>
      <c r="G65" s="38">
        <f>'_引擎'!O56</f>
        <v/>
      </c>
      <c r="H65" s="38">
        <f>'_引擎'!S56</f>
        <v/>
      </c>
      <c r="I65" s="38">
        <f>'_引擎'!V56</f>
        <v/>
      </c>
      <c r="J65" s="38">
        <f>'_引擎'!AG56</f>
        <v/>
      </c>
      <c r="K65" s="38">
        <f>'_引擎'!AP56</f>
        <v/>
      </c>
      <c r="L65" s="38">
        <f>'_引擎'!AS56</f>
        <v/>
      </c>
      <c r="M65" s="38">
        <f>'_引擎'!AU56</f>
        <v/>
      </c>
      <c r="N65" s="62">
        <f>'_引擎'!AT56</f>
        <v/>
      </c>
    </row>
    <row r="66" ht="15.5" customHeight="1">
      <c r="B66" s="67" t="n">
        <v>16</v>
      </c>
      <c r="C66" s="38">
        <f>'_引擎'!D57</f>
        <v/>
      </c>
      <c r="D66" s="38">
        <f>'_引擎'!G57</f>
        <v/>
      </c>
      <c r="E66" s="38">
        <f>'_引擎'!K57</f>
        <v/>
      </c>
      <c r="F66" s="38">
        <f>'_引擎'!M57</f>
        <v/>
      </c>
      <c r="G66" s="38">
        <f>'_引擎'!O57</f>
        <v/>
      </c>
      <c r="H66" s="38">
        <f>'_引擎'!S57</f>
        <v/>
      </c>
      <c r="I66" s="38">
        <f>'_引擎'!V57</f>
        <v/>
      </c>
      <c r="J66" s="38">
        <f>'_引擎'!AG57</f>
        <v/>
      </c>
      <c r="K66" s="38">
        <f>'_引擎'!AP57</f>
        <v/>
      </c>
      <c r="L66" s="38">
        <f>'_引擎'!AS57</f>
        <v/>
      </c>
      <c r="M66" s="38">
        <f>'_引擎'!AU57</f>
        <v/>
      </c>
      <c r="N66" s="62">
        <f>'_引擎'!AT57</f>
        <v/>
      </c>
    </row>
    <row r="67" ht="15.5" customHeight="1">
      <c r="B67" s="67" t="n">
        <v>17</v>
      </c>
      <c r="C67" s="38">
        <f>'_引擎'!D58</f>
        <v/>
      </c>
      <c r="D67" s="38">
        <f>'_引擎'!G58</f>
        <v/>
      </c>
      <c r="E67" s="38">
        <f>'_引擎'!K58</f>
        <v/>
      </c>
      <c r="F67" s="38">
        <f>'_引擎'!M58</f>
        <v/>
      </c>
      <c r="G67" s="38">
        <f>'_引擎'!O58</f>
        <v/>
      </c>
      <c r="H67" s="38">
        <f>'_引擎'!S58</f>
        <v/>
      </c>
      <c r="I67" s="38">
        <f>'_引擎'!V58</f>
        <v/>
      </c>
      <c r="J67" s="38">
        <f>'_引擎'!AG58</f>
        <v/>
      </c>
      <c r="K67" s="38">
        <f>'_引擎'!AP58</f>
        <v/>
      </c>
      <c r="L67" s="38">
        <f>'_引擎'!AS58</f>
        <v/>
      </c>
      <c r="M67" s="38">
        <f>'_引擎'!AU58</f>
        <v/>
      </c>
      <c r="N67" s="62">
        <f>'_引擎'!AT58</f>
        <v/>
      </c>
    </row>
    <row r="68" ht="15.5" customHeight="1">
      <c r="B68" s="67" t="n">
        <v>18</v>
      </c>
      <c r="C68" s="38">
        <f>'_引擎'!D59</f>
        <v/>
      </c>
      <c r="D68" s="38">
        <f>'_引擎'!G59</f>
        <v/>
      </c>
      <c r="E68" s="38">
        <f>'_引擎'!K59</f>
        <v/>
      </c>
      <c r="F68" s="38">
        <f>'_引擎'!M59</f>
        <v/>
      </c>
      <c r="G68" s="38">
        <f>'_引擎'!O59</f>
        <v/>
      </c>
      <c r="H68" s="38">
        <f>'_引擎'!S59</f>
        <v/>
      </c>
      <c r="I68" s="38">
        <f>'_引擎'!V59</f>
        <v/>
      </c>
      <c r="J68" s="38">
        <f>'_引擎'!AG59</f>
        <v/>
      </c>
      <c r="K68" s="38">
        <f>'_引擎'!AP59</f>
        <v/>
      </c>
      <c r="L68" s="38">
        <f>'_引擎'!AS59</f>
        <v/>
      </c>
      <c r="M68" s="38">
        <f>'_引擎'!AU59</f>
        <v/>
      </c>
      <c r="N68" s="62">
        <f>'_引擎'!AT59</f>
        <v/>
      </c>
    </row>
    <row r="69" ht="15.5" customHeight="1">
      <c r="B69" s="67" t="n">
        <v>19</v>
      </c>
      <c r="C69" s="38">
        <f>'_引擎'!D60</f>
        <v/>
      </c>
      <c r="D69" s="38">
        <f>'_引擎'!G60</f>
        <v/>
      </c>
      <c r="E69" s="38">
        <f>'_引擎'!K60</f>
        <v/>
      </c>
      <c r="F69" s="38">
        <f>'_引擎'!M60</f>
        <v/>
      </c>
      <c r="G69" s="38">
        <f>'_引擎'!O60</f>
        <v/>
      </c>
      <c r="H69" s="38">
        <f>'_引擎'!S60</f>
        <v/>
      </c>
      <c r="I69" s="38">
        <f>'_引擎'!V60</f>
        <v/>
      </c>
      <c r="J69" s="38">
        <f>'_引擎'!AG60</f>
        <v/>
      </c>
      <c r="K69" s="38">
        <f>'_引擎'!AP60</f>
        <v/>
      </c>
      <c r="L69" s="38">
        <f>'_引擎'!AS60</f>
        <v/>
      </c>
      <c r="M69" s="38">
        <f>'_引擎'!AU60</f>
        <v/>
      </c>
      <c r="N69" s="62">
        <f>'_引擎'!AT60</f>
        <v/>
      </c>
    </row>
    <row r="70" ht="15.5" customHeight="1">
      <c r="B70" s="67" t="n">
        <v>20</v>
      </c>
      <c r="C70" s="38">
        <f>'_引擎'!D61</f>
        <v/>
      </c>
      <c r="D70" s="38">
        <f>'_引擎'!G61</f>
        <v/>
      </c>
      <c r="E70" s="38">
        <f>'_引擎'!K61</f>
        <v/>
      </c>
      <c r="F70" s="38">
        <f>'_引擎'!M61</f>
        <v/>
      </c>
      <c r="G70" s="38">
        <f>'_引擎'!O61</f>
        <v/>
      </c>
      <c r="H70" s="38">
        <f>'_引擎'!S61</f>
        <v/>
      </c>
      <c r="I70" s="38">
        <f>'_引擎'!V61</f>
        <v/>
      </c>
      <c r="J70" s="38">
        <f>'_引擎'!AG61</f>
        <v/>
      </c>
      <c r="K70" s="38">
        <f>'_引擎'!AP61</f>
        <v/>
      </c>
      <c r="L70" s="38">
        <f>'_引擎'!AS61</f>
        <v/>
      </c>
      <c r="M70" s="38">
        <f>'_引擎'!AU61</f>
        <v/>
      </c>
      <c r="N70" s="62">
        <f>'_引擎'!AT61</f>
        <v/>
      </c>
    </row>
    <row r="71" ht="15.5" customHeight="1">
      <c r="B71" s="67" t="n">
        <v>21</v>
      </c>
      <c r="C71" s="38">
        <f>'_引擎'!D62</f>
        <v/>
      </c>
      <c r="D71" s="38">
        <f>'_引擎'!G62</f>
        <v/>
      </c>
      <c r="E71" s="38">
        <f>'_引擎'!K62</f>
        <v/>
      </c>
      <c r="F71" s="38">
        <f>'_引擎'!M62</f>
        <v/>
      </c>
      <c r="G71" s="38">
        <f>'_引擎'!O62</f>
        <v/>
      </c>
      <c r="H71" s="38">
        <f>'_引擎'!S62</f>
        <v/>
      </c>
      <c r="I71" s="38">
        <f>'_引擎'!V62</f>
        <v/>
      </c>
      <c r="J71" s="38">
        <f>'_引擎'!AG62</f>
        <v/>
      </c>
      <c r="K71" s="38">
        <f>'_引擎'!AP62</f>
        <v/>
      </c>
      <c r="L71" s="38">
        <f>'_引擎'!AS62</f>
        <v/>
      </c>
      <c r="M71" s="38">
        <f>'_引擎'!AU62</f>
        <v/>
      </c>
      <c r="N71" s="62">
        <f>'_引擎'!AT62</f>
        <v/>
      </c>
    </row>
    <row r="72" ht="15.5" customHeight="1">
      <c r="B72" s="67" t="n">
        <v>22</v>
      </c>
      <c r="C72" s="38">
        <f>'_引擎'!D63</f>
        <v/>
      </c>
      <c r="D72" s="38">
        <f>'_引擎'!G63</f>
        <v/>
      </c>
      <c r="E72" s="38">
        <f>'_引擎'!K63</f>
        <v/>
      </c>
      <c r="F72" s="38">
        <f>'_引擎'!M63</f>
        <v/>
      </c>
      <c r="G72" s="38">
        <f>'_引擎'!O63</f>
        <v/>
      </c>
      <c r="H72" s="38">
        <f>'_引擎'!S63</f>
        <v/>
      </c>
      <c r="I72" s="38">
        <f>'_引擎'!V63</f>
        <v/>
      </c>
      <c r="J72" s="38">
        <f>'_引擎'!AG63</f>
        <v/>
      </c>
      <c r="K72" s="38">
        <f>'_引擎'!AP63</f>
        <v/>
      </c>
      <c r="L72" s="38">
        <f>'_引擎'!AS63</f>
        <v/>
      </c>
      <c r="M72" s="38">
        <f>'_引擎'!AU63</f>
        <v/>
      </c>
      <c r="N72" s="62">
        <f>'_引擎'!AT63</f>
        <v/>
      </c>
    </row>
    <row r="73" ht="15.5" customHeight="1">
      <c r="B73" s="67" t="n">
        <v>23</v>
      </c>
      <c r="C73" s="38">
        <f>'_引擎'!D64</f>
        <v/>
      </c>
      <c r="D73" s="38">
        <f>'_引擎'!G64</f>
        <v/>
      </c>
      <c r="E73" s="38">
        <f>'_引擎'!K64</f>
        <v/>
      </c>
      <c r="F73" s="38">
        <f>'_引擎'!M64</f>
        <v/>
      </c>
      <c r="G73" s="38">
        <f>'_引擎'!O64</f>
        <v/>
      </c>
      <c r="H73" s="38">
        <f>'_引擎'!S64</f>
        <v/>
      </c>
      <c r="I73" s="38">
        <f>'_引擎'!V64</f>
        <v/>
      </c>
      <c r="J73" s="38">
        <f>'_引擎'!AG64</f>
        <v/>
      </c>
      <c r="K73" s="38">
        <f>'_引擎'!AP64</f>
        <v/>
      </c>
      <c r="L73" s="38">
        <f>'_引擎'!AS64</f>
        <v/>
      </c>
      <c r="M73" s="38">
        <f>'_引擎'!AU64</f>
        <v/>
      </c>
      <c r="N73" s="62">
        <f>'_引擎'!AT64</f>
        <v/>
      </c>
    </row>
    <row r="74" ht="15.5" customHeight="1">
      <c r="B74" s="67" t="n">
        <v>24</v>
      </c>
      <c r="C74" s="38">
        <f>'_引擎'!D65</f>
        <v/>
      </c>
      <c r="D74" s="38">
        <f>'_引擎'!G65</f>
        <v/>
      </c>
      <c r="E74" s="38">
        <f>'_引擎'!K65</f>
        <v/>
      </c>
      <c r="F74" s="38">
        <f>'_引擎'!M65</f>
        <v/>
      </c>
      <c r="G74" s="38">
        <f>'_引擎'!O65</f>
        <v/>
      </c>
      <c r="H74" s="38">
        <f>'_引擎'!S65</f>
        <v/>
      </c>
      <c r="I74" s="38">
        <f>'_引擎'!V65</f>
        <v/>
      </c>
      <c r="J74" s="38">
        <f>'_引擎'!AG65</f>
        <v/>
      </c>
      <c r="K74" s="38">
        <f>'_引擎'!AP65</f>
        <v/>
      </c>
      <c r="L74" s="38">
        <f>'_引擎'!AS65</f>
        <v/>
      </c>
      <c r="M74" s="38">
        <f>'_引擎'!AU65</f>
        <v/>
      </c>
      <c r="N74" s="62">
        <f>'_引擎'!AT65</f>
        <v/>
      </c>
    </row>
    <row r="75" ht="15.5" customHeight="1">
      <c r="B75" s="68" t="n">
        <v>25</v>
      </c>
      <c r="C75" s="49">
        <f>'_引擎'!D66</f>
        <v/>
      </c>
      <c r="D75" s="49">
        <f>'_引擎'!G66</f>
        <v/>
      </c>
      <c r="E75" s="49">
        <f>'_引擎'!K66</f>
        <v/>
      </c>
      <c r="F75" s="49">
        <f>'_引擎'!M66</f>
        <v/>
      </c>
      <c r="G75" s="49">
        <f>'_引擎'!O66</f>
        <v/>
      </c>
      <c r="H75" s="49">
        <f>'_引擎'!S66</f>
        <v/>
      </c>
      <c r="I75" s="49">
        <f>'_引擎'!V66</f>
        <v/>
      </c>
      <c r="J75" s="49">
        <f>'_引擎'!AG66</f>
        <v/>
      </c>
      <c r="K75" s="49">
        <f>'_引擎'!AP66</f>
        <v/>
      </c>
      <c r="L75" s="49">
        <f>'_引擎'!AS66</f>
        <v/>
      </c>
      <c r="M75" s="49">
        <f>'_引擎'!AU66</f>
        <v/>
      </c>
      <c r="N75" s="63">
        <f>'_引擎'!AT66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conditionalFormatting sqref="L51:L75">
    <cfRule type="dataBar" priority="1">
      <dataBar showValue="1">
        <cfvo type="num" val="0"/>
        <cfvo type="max"/>
        <color rgb="001F3864"/>
      </dataBar>
    </cfRule>
  </conditionalFormatting>
  <dataValidations count="40">
    <dataValidation sqref="C5" showDropDown="0" showInputMessage="0" showErrorMessage="0" allowBlank="0" type="list">
      <formula1>"是,否"</formula1>
    </dataValidation>
    <dataValidation sqref="C8" showDropDown="0" showInputMessage="0" showErrorMessage="1" allowBlank="1" errorTitle="超出可填范围" error="装机容量可填范围为0~1,000 MW，请核实后重新填写。" type="decimal" operator="between">
      <formula1>0</formula1>
      <formula2>1000</formula2>
    </dataValidation>
    <dataValidation sqref="C9" showDropDown="0" showInputMessage="0" showErrorMessage="1" allowBlank="1" errorTitle="超出可填范围" error="首年利用小时数可填范围为0~2,500 h，请核实后重新填写。" type="decimal" operator="between">
      <formula1>0</formula1>
      <formula2>2500</formula2>
    </dataValidation>
    <dataValidation sqref="C10" showDropDown="0" showInputMessage="0" showErrorMessage="1" allowBlank="1" errorTitle="超出可填范围" error="年出力衰减率可填范围为0%~10%，请核实后重新填写。" type="decimal" operator="between">
      <formula1>0</formula1>
      <formula2>0.1</formula2>
    </dataValidation>
    <dataValidation sqref="C11" showDropDown="0" showInputMessage="0" showErrorMessage="1" allowBlank="1" errorTitle="超出可填范围" error="运营期须为1~25的整数；本工作簿现金流表最长支持25年，更长评价期请用介子九维小程序在线测算。" type="whole" operator="between">
      <formula1>1</formula1>
      <formula2>25</formula2>
    </dataValidation>
    <dataValidation sqref="C14" showDropDown="0" showInputMessage="0" showErrorMessage="1" allowBlank="1" errorTitle="超出可填范围" error="丰水期折扣系数可填范围为0~1，请核实后重新填写。" type="decimal" operator="between">
      <formula1>0</formula1>
      <formula2>1</formula2>
    </dataValidation>
    <dataValidation sqref="C15" showDropDown="0" showInputMessage="0" showErrorMessage="1" allowBlank="1" errorTitle="超出可填范围" error="枯水期折扣系数可填范围为0~1，请核实后重新填写。" type="decimal" operator="between">
      <formula1>0</formula1>
      <formula2>1</formula2>
    </dataValidation>
    <dataValidation sqref="C16" showDropDown="0" showInputMessage="0" showErrorMessage="1" allowBlank="1" errorTitle="超出可填范围" error="结算地板价可填范围为0~2 元/kWh，请核实后重新填写。" type="decimal" operator="between">
      <formula1>0</formula1>
      <formula2>2</formula2>
    </dataValidation>
    <dataValidation sqref="C17" showDropDown="0" showInputMessage="0" showErrorMessage="1" allowBlank="1" errorTitle="超出可填范围" error="余电上网电价可填范围为0~2 元/kWh，请核实后重新填写。" type="decimal" operator="between">
      <formula1>0</formula1>
      <formula2>2</formula2>
    </dataValidation>
    <dataValidation sqref="C20" showDropDown="0" showInputMessage="0" showErrorMessage="1" allowBlank="1" errorTitle="超出可填范围" error="单位造价可填范围为0~10 元/W，请核实后重新填写。" type="decimal" operator="between">
      <formula1>0</formula1>
      <formula2>10</formula2>
    </dataValidation>
    <dataValidation sqref="C21" showDropDown="0" showInputMessage="0" showErrorMessage="1" allowBlank="1" errorTitle="超出可填范围" error="年运维费可填范围为0~20 万元/MW·年，请核实后重新填写。" type="decimal" operator="between">
      <formula1>0</formula1>
      <formula2>20</formula2>
    </dataValidation>
    <dataValidation sqref="C22" showDropDown="0" showInputMessage="0" showErrorMessage="1" allowBlank="1" errorTitle="超出可填范围" error="保险费率可填范围为0%~5%，请核实后重新填写。" type="decimal" operator="between">
      <formula1>0</formula1>
      <formula2>0.05</formula2>
    </dataValidation>
    <dataValidation sqref="C23" showDropDown="0" showInputMessage="0" showErrorMessage="1" allowBlank="1" errorTitle="超出可填范围" error="屋顶租金可填范围为0~1 元/W·年，请核实后重新填写。" type="decimal" operator="between">
      <formula1>0</formula1>
      <formula2>1</formula2>
    </dataValidation>
    <dataValidation sqref="C24" showDropDown="0" showInputMessage="0" showErrorMessage="1" allowBlank="1" errorTitle="超出可填范围" error="逆变器更换年份须为0~60的整数；填0或大于运营期表示不发生更换。" type="whole" operator="between">
      <formula1>0</formula1>
      <formula2>60</formula2>
    </dataValidation>
    <dataValidation sqref="C25" showDropDown="0" showInputMessage="0" showErrorMessage="1" allowBlank="1" errorTitle="超出可填范围" error="逆变器更换费用可填范围为0~1 元/W，请核实后重新填写。" type="decimal" operator="between">
      <formula1>0</formula1>
      <formula2>1</formula2>
    </dataValidation>
    <dataValidation sqref="C26" showDropDown="0" showInputMessage="0" showErrorMessage="1" allowBlank="1" errorTitle="超出可填范围" error="其他年度费用可填范围为0~1,000 万元/年，请核实后重新填写。" type="decimal" operator="between">
      <formula1>0</formula1>
      <formula2>1000</formula2>
    </dataValidation>
    <dataValidation sqref="C29" showDropDown="0" showInputMessage="0" showErrorMessage="1" allowBlank="1" errorTitle="超出可填范围" error="可抵扣进项税比例应不为负且不超过13/113（约11.5%）。" type="decimal" operator="between">
      <formula1>0</formula1>
      <formula2>0.11504424778761063</formula2>
    </dataValidation>
    <dataValidation sqref="C30" showDropDown="0" showInputMessage="0" showErrorMessage="1" allowBlank="1" errorTitle="超出可填范围" error="附加税费率可填范围为0%~20%，请核实后重新填写。" type="decimal" operator="between">
      <formula1>0</formula1>
      <formula2>0.2</formula2>
    </dataValidation>
    <dataValidation sqref="C31" showDropDown="0" showInputMessage="0" showErrorMessage="1" allowBlank="1" errorTitle="超出可填范围" error="所得税率可填范围为0%~35%，请核实后重新填写。" type="decimal" operator="between">
      <formula1>0</formula1>
      <formula2>0.35</formula2>
    </dataValidation>
    <dataValidation sqref="C32" showDropDown="0" showInputMessage="0" showErrorMessage="1" allowBlank="1" errorTitle="超出可填范围" error="折旧年限须为1~60的整数。" type="whole" operator="between">
      <formula1>1</formula1>
      <formula2>60</formula2>
    </dataValidation>
    <dataValidation sqref="C33" showDropDown="0" showInputMessage="0" showErrorMessage="1" allowBlank="1" errorTitle="超出可填范围" error="残值率可填范围为0%~20%，请核实后重新填写。" type="decimal" operator="between">
      <formula1>0</formula1>
      <formula2>0.2</formula2>
    </dataValidation>
    <dataValidation sqref="C34" showDropDown="0" showInputMessage="0" showErrorMessage="1" allowBlank="1" errorTitle="超出可填范围" error="资本金比例应大于零且不超过100%。" type="decimal" operator="between">
      <formula1>0.0001</formula1>
      <formula2>1</formula2>
    </dataValidation>
    <dataValidation sqref="C35" showDropDown="0" showInputMessage="0" showErrorMessage="1" allowBlank="1" errorTitle="超出可填范围" error="贷款利率可填范围为0%~20%，请核实后重新填写。" type="decimal" operator="between">
      <formula1>0</formula1>
      <formula2>0.2</formula2>
    </dataValidation>
    <dataValidation sqref="C36" showDropDown="0" showInputMessage="0" showErrorMessage="1" allowBlank="1" errorTitle="超出可填范围" error="贷款年限须为1~60的整数。" type="whole" operator="between">
      <formula1>1</formula1>
      <formula2>60</formula2>
    </dataValidation>
    <dataValidation sqref="C37" showDropDown="0" showInputMessage="0" showErrorMessage="1" allowBlank="1" errorTitle="超出可填范围" error="基准折现率可填范围为0%~20%，请核实后重新填写。" type="decimal" operator="between">
      <formula1>0</formula1>
      <formula2>0.2</formula2>
    </dataValidation>
    <dataValidation sqref="H4" showDropDown="0" showInputMessage="0" showErrorMessage="0" allowBlank="0" type="list">
      <formula1>"丰水期,枯水期"</formula1>
    </dataValidation>
    <dataValidation sqref="H5" showDropDown="0" showInputMessage="0" showErrorMessage="0" allowBlank="0" type="list">
      <formula1>"丰水期,枯水期"</formula1>
    </dataValidation>
    <dataValidation sqref="H6" showDropDown="0" showInputMessage="0" showErrorMessage="0" allowBlank="0" type="list">
      <formula1>"丰水期,枯水期"</formula1>
    </dataValidation>
    <dataValidation sqref="H7" showDropDown="0" showInputMessage="0" showErrorMessage="0" allowBlank="0" type="list">
      <formula1>"丰水期,枯水期"</formula1>
    </dataValidation>
    <dataValidation sqref="H8" showDropDown="0" showInputMessage="0" showErrorMessage="0" allowBlank="0" type="list">
      <formula1>"丰水期,枯水期"</formula1>
    </dataValidation>
    <dataValidation sqref="H9" showDropDown="0" showInputMessage="0" showErrorMessage="0" allowBlank="0" type="list">
      <formula1>"丰水期,枯水期"</formula1>
    </dataValidation>
    <dataValidation sqref="H10" showDropDown="0" showInputMessage="0" showErrorMessage="0" allowBlank="0" type="list">
      <formula1>"丰水期,枯水期"</formula1>
    </dataValidation>
    <dataValidation sqref="H11" showDropDown="0" showInputMessage="0" showErrorMessage="0" allowBlank="0" type="list">
      <formula1>"丰水期,枯水期"</formula1>
    </dataValidation>
    <dataValidation sqref="H12" showDropDown="0" showInputMessage="0" showErrorMessage="0" allowBlank="0" type="list">
      <formula1>"丰水期,枯水期"</formula1>
    </dataValidation>
    <dataValidation sqref="H13" showDropDown="0" showInputMessage="0" showErrorMessage="0" allowBlank="0" type="list">
      <formula1>"丰水期,枯水期"</formula1>
    </dataValidation>
    <dataValidation sqref="H14" showDropDown="0" showInputMessage="0" showErrorMessage="0" allowBlank="0" type="list">
      <formula1>"丰水期,枯水期"</formula1>
    </dataValidation>
    <dataValidation sqref="H15" showDropDown="0" showInputMessage="0" showErrorMessage="0" allowBlank="0" type="list">
      <formula1>"丰水期,枯水期"</formula1>
    </dataValidation>
    <dataValidation sqref="I4:I15" showDropDown="0" showInputMessage="0" showErrorMessage="1" allowBlank="1" errorTitle="超出可填范围" error="发电量占比可填范围为0%~100%，12个月合计应为100%。" type="decimal" operator="between">
      <formula1>0</formula1>
      <formula2>1</formula2>
    </dataValidation>
    <dataValidation sqref="J4:J15" showDropDown="0" showInputMessage="0" showErrorMessage="1" allowBlank="1" errorTitle="超出可填范围" error="自用比例可填范围为0%~100%。" type="decimal" operator="between">
      <formula1>0</formula1>
      <formula2>1</formula2>
    </dataValidation>
    <dataValidation sqref="K4:K15" showDropDown="0" showInputMessage="0" showErrorMessage="1" allowBlank="1" errorTitle="超出可填范围" error="到户电度价可填范围为0~2 元/kWh，请核实后重新填写。" type="decimal" operator="between">
      <formula1>0</formula1>
      <formula2>2</formula2>
    </dataValidation>
  </dataValidations>
  <pageMargins left="0.75" right="0.75" top="1" bottom="1" header="0.5" footer="0.5"/>
  <headerFooter>
    <oddHeader/>
    <oddFooter>&amp;L光伏自发自用经济测算 v1.0&amp;R介子九维 JIEZIJIUWEI · 版权所有</oddFooter>
    <evenHeader/>
    <evenFooter/>
    <firstHeader/>
    <firstFooter/>
  </headerFooter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常量</t>
        </is>
      </c>
      <c r="B1" s="5" t="n"/>
    </row>
    <row r="2">
      <c r="A2" s="5" t="inlineStr">
        <is>
          <t>增值税率</t>
        </is>
      </c>
      <c r="B2" s="5" t="n">
        <v>0.13</v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C79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月度结算（引擎口径 2026-07；勿改）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  <c r="AC1" s="5" t="n"/>
      <c r="AD1" s="5" t="n"/>
      <c r="AE1" s="5" t="n"/>
      <c r="AF1" s="5" t="n"/>
      <c r="AG1" s="5" t="n"/>
      <c r="AH1" s="5" t="n"/>
      <c r="AI1" s="5" t="n"/>
      <c r="AJ1" s="5" t="n"/>
      <c r="AK1" s="5" t="n"/>
      <c r="AL1" s="5" t="n"/>
      <c r="AM1" s="5" t="n"/>
      <c r="AN1" s="5" t="n"/>
      <c r="AO1" s="5" t="n"/>
      <c r="AP1" s="5" t="n"/>
      <c r="AQ1" s="5" t="n"/>
      <c r="AR1" s="5" t="n"/>
      <c r="AS1" s="5" t="n"/>
      <c r="AT1" s="5" t="n"/>
      <c r="AU1" s="5" t="n"/>
      <c r="AV1" s="5" t="n"/>
      <c r="AW1" s="5" t="n"/>
      <c r="AX1" s="5" t="n"/>
      <c r="AY1" s="5" t="n"/>
      <c r="AZ1" s="5" t="n"/>
      <c r="BA1" s="5" t="n"/>
      <c r="BB1" s="5" t="n"/>
      <c r="BC1" s="5" t="n"/>
    </row>
    <row r="2">
      <c r="A2" s="5" t="inlineStr">
        <is>
          <t>月</t>
        </is>
      </c>
      <c r="B2" s="5" t="inlineStr">
        <is>
          <t>发电量</t>
        </is>
      </c>
      <c r="C2" s="5" t="inlineStr">
        <is>
          <t>自用电量</t>
        </is>
      </c>
      <c r="D2" s="5" t="inlineStr">
        <is>
          <t>折扣系数</t>
        </is>
      </c>
      <c r="E2" s="5" t="inlineStr">
        <is>
          <t>折扣后价</t>
        </is>
      </c>
      <c r="F2" s="5" t="inlineStr">
        <is>
          <t>结算价</t>
        </is>
      </c>
      <c r="G2" s="5" t="inlineStr">
        <is>
          <t>自用收入</t>
        </is>
      </c>
      <c r="H2" s="5" t="inlineStr">
        <is>
          <t>目录价收入</t>
        </is>
      </c>
      <c r="I2" s="5" t="inlineStr">
        <is>
          <t>节省额</t>
        </is>
      </c>
      <c r="J2" s="5" t="inlineStr">
        <is>
          <t>触地板价</t>
        </is>
      </c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  <c r="AC2" s="5" t="n"/>
      <c r="AD2" s="5" t="n"/>
      <c r="AE2" s="5" t="n"/>
      <c r="AF2" s="5" t="n"/>
      <c r="AG2" s="5" t="n"/>
      <c r="AH2" s="5" t="n"/>
      <c r="AI2" s="5" t="n"/>
      <c r="AJ2" s="5" t="n"/>
      <c r="AK2" s="5" t="n"/>
      <c r="AL2" s="5" t="n"/>
      <c r="AM2" s="5" t="n"/>
      <c r="AN2" s="5" t="n"/>
      <c r="AO2" s="5" t="n"/>
      <c r="AP2" s="5" t="n"/>
      <c r="AQ2" s="5" t="n"/>
      <c r="AR2" s="5" t="n"/>
      <c r="AS2" s="5" t="n"/>
      <c r="AT2" s="5" t="n"/>
      <c r="AU2" s="5" t="n"/>
      <c r="AV2" s="5" t="n"/>
      <c r="AW2" s="5" t="n"/>
      <c r="AX2" s="5" t="n"/>
      <c r="AY2" s="5" t="n"/>
      <c r="AZ2" s="5" t="n"/>
      <c r="BA2" s="5" t="n"/>
      <c r="BB2" s="5" t="n"/>
      <c r="BC2" s="5" t="n"/>
    </row>
    <row r="3">
      <c r="A3" s="5" t="n">
        <v>1</v>
      </c>
      <c r="B3" s="5">
        <f>_z15be9*'测算'!$I$4</f>
        <v/>
      </c>
      <c r="C3" s="5">
        <f>B3*'测算'!$J$4</f>
        <v/>
      </c>
      <c r="D3" s="5">
        <f>IF('测算'!$H$4="丰水期",_z35jsg,_z20bng)</f>
        <v/>
      </c>
      <c r="E3" s="5">
        <f>'测算'!$K$4*D3</f>
        <v/>
      </c>
      <c r="F3" s="5">
        <f>MAX(E3,_z7rkww)</f>
        <v/>
      </c>
      <c r="G3" s="5">
        <f>C3*F3</f>
        <v/>
      </c>
      <c r="H3" s="5">
        <f>C3*'测算'!$K$4</f>
        <v/>
      </c>
      <c r="I3" s="5">
        <f>C3*('测算'!$K$4-F3)</f>
        <v/>
      </c>
      <c r="J3" s="5">
        <f>IF(F3&gt;E3+0.000000001,1,0)</f>
        <v/>
      </c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  <c r="AC3" s="5" t="n"/>
      <c r="AD3" s="5" t="n"/>
      <c r="AE3" s="5" t="n"/>
      <c r="AF3" s="5" t="n"/>
      <c r="AG3" s="5" t="n"/>
      <c r="AH3" s="5" t="n"/>
      <c r="AI3" s="5" t="n"/>
      <c r="AJ3" s="5" t="n"/>
      <c r="AK3" s="5" t="n"/>
      <c r="AL3" s="5" t="n"/>
      <c r="AM3" s="5" t="n"/>
      <c r="AN3" s="5" t="n"/>
      <c r="AO3" s="5" t="n"/>
      <c r="AP3" s="5" t="n"/>
      <c r="AQ3" s="5" t="n"/>
      <c r="AR3" s="5" t="n"/>
      <c r="AS3" s="5" t="n"/>
      <c r="AT3" s="5" t="n"/>
      <c r="AU3" s="5" t="n"/>
      <c r="AV3" s="5" t="n"/>
      <c r="AW3" s="5" t="n"/>
      <c r="AX3" s="5" t="n"/>
      <c r="AY3" s="5" t="n"/>
      <c r="AZ3" s="5" t="n"/>
      <c r="BA3" s="5" t="n"/>
      <c r="BB3" s="5" t="n"/>
      <c r="BC3" s="5" t="n"/>
    </row>
    <row r="4">
      <c r="A4" s="5" t="n">
        <v>2</v>
      </c>
      <c r="B4" s="5">
        <f>_z15be9*'测算'!$I$5</f>
        <v/>
      </c>
      <c r="C4" s="5">
        <f>B4*'测算'!$J$5</f>
        <v/>
      </c>
      <c r="D4" s="5">
        <f>IF('测算'!$H$5="丰水期",_z35jsg,_z20bng)</f>
        <v/>
      </c>
      <c r="E4" s="5">
        <f>'测算'!$K$5*D4</f>
        <v/>
      </c>
      <c r="F4" s="5">
        <f>MAX(E4,_z7rkww)</f>
        <v/>
      </c>
      <c r="G4" s="5">
        <f>C4*F4</f>
        <v/>
      </c>
      <c r="H4" s="5">
        <f>C4*'测算'!$K$5</f>
        <v/>
      </c>
      <c r="I4" s="5">
        <f>C4*('测算'!$K$5-F4)</f>
        <v/>
      </c>
      <c r="J4" s="5">
        <f>IF(F4&gt;E4+0.000000001,1,0)</f>
        <v/>
      </c>
      <c r="K4" s="5" t="n"/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  <c r="AC4" s="5" t="n"/>
      <c r="AD4" s="5" t="n"/>
      <c r="AE4" s="5" t="n"/>
      <c r="AF4" s="5" t="n"/>
      <c r="AG4" s="5" t="n"/>
      <c r="AH4" s="5" t="n"/>
      <c r="AI4" s="5" t="n"/>
      <c r="AJ4" s="5" t="n"/>
      <c r="AK4" s="5" t="n"/>
      <c r="AL4" s="5" t="n"/>
      <c r="AM4" s="5" t="n"/>
      <c r="AN4" s="5" t="n"/>
      <c r="AO4" s="5" t="n"/>
      <c r="AP4" s="5" t="n"/>
      <c r="AQ4" s="5" t="n"/>
      <c r="AR4" s="5" t="n"/>
      <c r="AS4" s="5" t="n"/>
      <c r="AT4" s="5" t="n"/>
      <c r="AU4" s="5" t="n"/>
      <c r="AV4" s="5" t="n"/>
      <c r="AW4" s="5" t="n"/>
      <c r="AX4" s="5" t="n"/>
      <c r="AY4" s="5" t="n"/>
      <c r="AZ4" s="5" t="n"/>
      <c r="BA4" s="5" t="n"/>
      <c r="BB4" s="5" t="n"/>
      <c r="BC4" s="5" t="n"/>
    </row>
    <row r="5">
      <c r="A5" s="5" t="n">
        <v>3</v>
      </c>
      <c r="B5" s="5">
        <f>_z15be9*'测算'!$I$6</f>
        <v/>
      </c>
      <c r="C5" s="5">
        <f>B5*'测算'!$J$6</f>
        <v/>
      </c>
      <c r="D5" s="5">
        <f>IF('测算'!$H$6="丰水期",_z35jsg,_z20bng)</f>
        <v/>
      </c>
      <c r="E5" s="5">
        <f>'测算'!$K$6*D5</f>
        <v/>
      </c>
      <c r="F5" s="5">
        <f>MAX(E5,_z7rkww)</f>
        <v/>
      </c>
      <c r="G5" s="5">
        <f>C5*F5</f>
        <v/>
      </c>
      <c r="H5" s="5">
        <f>C5*'测算'!$K$6</f>
        <v/>
      </c>
      <c r="I5" s="5">
        <f>C5*('测算'!$K$6-F5)</f>
        <v/>
      </c>
      <c r="J5" s="5">
        <f>IF(F5&gt;E5+0.000000001,1,0)</f>
        <v/>
      </c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</row>
    <row r="6">
      <c r="A6" s="5" t="n">
        <v>4</v>
      </c>
      <c r="B6" s="5">
        <f>_z15be9*'测算'!$I$7</f>
        <v/>
      </c>
      <c r="C6" s="5">
        <f>B6*'测算'!$J$7</f>
        <v/>
      </c>
      <c r="D6" s="5">
        <f>IF('测算'!$H$7="丰水期",_z35jsg,_z20bng)</f>
        <v/>
      </c>
      <c r="E6" s="5">
        <f>'测算'!$K$7*D6</f>
        <v/>
      </c>
      <c r="F6" s="5">
        <f>MAX(E6,_z7rkww)</f>
        <v/>
      </c>
      <c r="G6" s="5">
        <f>C6*F6</f>
        <v/>
      </c>
      <c r="H6" s="5">
        <f>C6*'测算'!$K$7</f>
        <v/>
      </c>
      <c r="I6" s="5">
        <f>C6*('测算'!$K$7-F6)</f>
        <v/>
      </c>
      <c r="J6" s="5">
        <f>IF(F6&gt;E6+0.000000001,1,0)</f>
        <v/>
      </c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  <c r="AC6" s="5" t="n"/>
      <c r="AD6" s="5" t="n"/>
      <c r="AE6" s="5" t="n"/>
      <c r="AF6" s="5" t="n"/>
      <c r="AG6" s="5" t="n"/>
      <c r="AH6" s="5" t="n"/>
      <c r="AI6" s="5" t="n"/>
      <c r="AJ6" s="5" t="n"/>
      <c r="AK6" s="5" t="n"/>
      <c r="AL6" s="5" t="n"/>
      <c r="AM6" s="5" t="n"/>
      <c r="AN6" s="5" t="n"/>
      <c r="AO6" s="5" t="n"/>
      <c r="AP6" s="5" t="n"/>
      <c r="AQ6" s="5" t="n"/>
      <c r="AR6" s="5" t="n"/>
      <c r="AS6" s="5" t="n"/>
      <c r="AT6" s="5" t="n"/>
      <c r="AU6" s="5" t="n"/>
      <c r="AV6" s="5" t="n"/>
      <c r="AW6" s="5" t="n"/>
      <c r="AX6" s="5" t="n"/>
      <c r="AY6" s="5" t="n"/>
      <c r="AZ6" s="5" t="n"/>
      <c r="BA6" s="5" t="n"/>
      <c r="BB6" s="5" t="n"/>
      <c r="BC6" s="5" t="n"/>
    </row>
    <row r="7">
      <c r="A7" s="5" t="n">
        <v>5</v>
      </c>
      <c r="B7" s="5">
        <f>_z15be9*'测算'!$I$8</f>
        <v/>
      </c>
      <c r="C7" s="5">
        <f>B7*'测算'!$J$8</f>
        <v/>
      </c>
      <c r="D7" s="5">
        <f>IF('测算'!$H$8="丰水期",_z35jsg,_z20bng)</f>
        <v/>
      </c>
      <c r="E7" s="5">
        <f>'测算'!$K$8*D7</f>
        <v/>
      </c>
      <c r="F7" s="5">
        <f>MAX(E7,_z7rkww)</f>
        <v/>
      </c>
      <c r="G7" s="5">
        <f>C7*F7</f>
        <v/>
      </c>
      <c r="H7" s="5">
        <f>C7*'测算'!$K$8</f>
        <v/>
      </c>
      <c r="I7" s="5">
        <f>C7*('测算'!$K$8-F7)</f>
        <v/>
      </c>
      <c r="J7" s="5">
        <f>IF(F7&gt;E7+0.000000001,1,0)</f>
        <v/>
      </c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  <c r="AC7" s="5" t="n"/>
      <c r="AD7" s="5" t="n"/>
      <c r="AE7" s="5" t="n"/>
      <c r="AF7" s="5" t="n"/>
      <c r="AG7" s="5" t="n"/>
      <c r="AH7" s="5" t="n"/>
      <c r="AI7" s="5" t="n"/>
      <c r="AJ7" s="5" t="n"/>
      <c r="AK7" s="5" t="n"/>
      <c r="AL7" s="5" t="n"/>
      <c r="AM7" s="5" t="n"/>
      <c r="AN7" s="5" t="n"/>
      <c r="AO7" s="5" t="n"/>
      <c r="AP7" s="5" t="n"/>
      <c r="AQ7" s="5" t="n"/>
      <c r="AR7" s="5" t="n"/>
      <c r="AS7" s="5" t="n"/>
      <c r="AT7" s="5" t="n"/>
      <c r="AU7" s="5" t="n"/>
      <c r="AV7" s="5" t="n"/>
      <c r="AW7" s="5" t="n"/>
      <c r="AX7" s="5" t="n"/>
      <c r="AY7" s="5" t="n"/>
      <c r="AZ7" s="5" t="n"/>
      <c r="BA7" s="5" t="n"/>
      <c r="BB7" s="5" t="n"/>
      <c r="BC7" s="5" t="n"/>
    </row>
    <row r="8">
      <c r="A8" s="5" t="n">
        <v>6</v>
      </c>
      <c r="B8" s="5">
        <f>_z15be9*'测算'!$I$9</f>
        <v/>
      </c>
      <c r="C8" s="5">
        <f>B8*'测算'!$J$9</f>
        <v/>
      </c>
      <c r="D8" s="5">
        <f>IF('测算'!$H$9="丰水期",_z35jsg,_z20bng)</f>
        <v/>
      </c>
      <c r="E8" s="5">
        <f>'测算'!$K$9*D8</f>
        <v/>
      </c>
      <c r="F8" s="5">
        <f>MAX(E8,_z7rkww)</f>
        <v/>
      </c>
      <c r="G8" s="5">
        <f>C8*F8</f>
        <v/>
      </c>
      <c r="H8" s="5">
        <f>C8*'测算'!$K$9</f>
        <v/>
      </c>
      <c r="I8" s="5">
        <f>C8*('测算'!$K$9-F8)</f>
        <v/>
      </c>
      <c r="J8" s="5">
        <f>IF(F8&gt;E8+0.000000001,1,0)</f>
        <v/>
      </c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  <c r="AC8" s="5" t="n"/>
      <c r="AD8" s="5" t="n"/>
      <c r="AE8" s="5" t="n"/>
      <c r="AF8" s="5" t="n"/>
      <c r="AG8" s="5" t="n"/>
      <c r="AH8" s="5" t="n"/>
      <c r="AI8" s="5" t="n"/>
      <c r="AJ8" s="5" t="n"/>
      <c r="AK8" s="5" t="n"/>
      <c r="AL8" s="5" t="n"/>
      <c r="AM8" s="5" t="n"/>
      <c r="AN8" s="5" t="n"/>
      <c r="AO8" s="5" t="n"/>
      <c r="AP8" s="5" t="n"/>
      <c r="AQ8" s="5" t="n"/>
      <c r="AR8" s="5" t="n"/>
      <c r="AS8" s="5" t="n"/>
      <c r="AT8" s="5" t="n"/>
      <c r="AU8" s="5" t="n"/>
      <c r="AV8" s="5" t="n"/>
      <c r="AW8" s="5" t="n"/>
      <c r="AX8" s="5" t="n"/>
      <c r="AY8" s="5" t="n"/>
      <c r="AZ8" s="5" t="n"/>
      <c r="BA8" s="5" t="n"/>
      <c r="BB8" s="5" t="n"/>
      <c r="BC8" s="5" t="n"/>
    </row>
    <row r="9">
      <c r="A9" s="5" t="n">
        <v>7</v>
      </c>
      <c r="B9" s="5">
        <f>_z15be9*'测算'!$I$10</f>
        <v/>
      </c>
      <c r="C9" s="5">
        <f>B9*'测算'!$J$10</f>
        <v/>
      </c>
      <c r="D9" s="5">
        <f>IF('测算'!$H$10="丰水期",_z35jsg,_z20bng)</f>
        <v/>
      </c>
      <c r="E9" s="5">
        <f>'测算'!$K$10*D9</f>
        <v/>
      </c>
      <c r="F9" s="5">
        <f>MAX(E9,_z7rkww)</f>
        <v/>
      </c>
      <c r="G9" s="5">
        <f>C9*F9</f>
        <v/>
      </c>
      <c r="H9" s="5">
        <f>C9*'测算'!$K$10</f>
        <v/>
      </c>
      <c r="I9" s="5">
        <f>C9*('测算'!$K$10-F9)</f>
        <v/>
      </c>
      <c r="J9" s="5">
        <f>IF(F9&gt;E9+0.000000001,1,0)</f>
        <v/>
      </c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  <c r="AC9" s="5" t="n"/>
      <c r="AD9" s="5" t="n"/>
      <c r="AE9" s="5" t="n"/>
      <c r="AF9" s="5" t="n"/>
      <c r="AG9" s="5" t="n"/>
      <c r="AH9" s="5" t="n"/>
      <c r="AI9" s="5" t="n"/>
      <c r="AJ9" s="5" t="n"/>
      <c r="AK9" s="5" t="n"/>
      <c r="AL9" s="5" t="n"/>
      <c r="AM9" s="5" t="n"/>
      <c r="AN9" s="5" t="n"/>
      <c r="AO9" s="5" t="n"/>
      <c r="AP9" s="5" t="n"/>
      <c r="AQ9" s="5" t="n"/>
      <c r="AR9" s="5" t="n"/>
      <c r="AS9" s="5" t="n"/>
      <c r="AT9" s="5" t="n"/>
      <c r="AU9" s="5" t="n"/>
      <c r="AV9" s="5" t="n"/>
      <c r="AW9" s="5" t="n"/>
      <c r="AX9" s="5" t="n"/>
      <c r="AY9" s="5" t="n"/>
      <c r="AZ9" s="5" t="n"/>
      <c r="BA9" s="5" t="n"/>
      <c r="BB9" s="5" t="n"/>
      <c r="BC9" s="5" t="n"/>
    </row>
    <row r="10">
      <c r="A10" s="5" t="n">
        <v>8</v>
      </c>
      <c r="B10" s="5">
        <f>_z15be9*'测算'!$I$11</f>
        <v/>
      </c>
      <c r="C10" s="5">
        <f>B10*'测算'!$J$11</f>
        <v/>
      </c>
      <c r="D10" s="5">
        <f>IF('测算'!$H$11="丰水期",_z35jsg,_z20bng)</f>
        <v/>
      </c>
      <c r="E10" s="5">
        <f>'测算'!$K$11*D10</f>
        <v/>
      </c>
      <c r="F10" s="5">
        <f>MAX(E10,_z7rkww)</f>
        <v/>
      </c>
      <c r="G10" s="5">
        <f>C10*F10</f>
        <v/>
      </c>
      <c r="H10" s="5">
        <f>C10*'测算'!$K$11</f>
        <v/>
      </c>
      <c r="I10" s="5">
        <f>C10*('测算'!$K$11-F10)</f>
        <v/>
      </c>
      <c r="J10" s="5">
        <f>IF(F10&gt;E10+0.000000001,1,0)</f>
        <v/>
      </c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  <c r="AD10" s="5" t="n"/>
      <c r="AE10" s="5" t="n"/>
      <c r="AF10" s="5" t="n"/>
      <c r="AG10" s="5" t="n"/>
      <c r="AH10" s="5" t="n"/>
      <c r="AI10" s="5" t="n"/>
      <c r="AJ10" s="5" t="n"/>
      <c r="AK10" s="5" t="n"/>
      <c r="AL10" s="5" t="n"/>
      <c r="AM10" s="5" t="n"/>
      <c r="AN10" s="5" t="n"/>
      <c r="AO10" s="5" t="n"/>
      <c r="AP10" s="5" t="n"/>
      <c r="AQ10" s="5" t="n"/>
      <c r="AR10" s="5" t="n"/>
      <c r="AS10" s="5" t="n"/>
      <c r="AT10" s="5" t="n"/>
      <c r="AU10" s="5" t="n"/>
      <c r="AV10" s="5" t="n"/>
      <c r="AW10" s="5" t="n"/>
      <c r="AX10" s="5" t="n"/>
      <c r="AY10" s="5" t="n"/>
      <c r="AZ10" s="5" t="n"/>
      <c r="BA10" s="5" t="n"/>
      <c r="BB10" s="5" t="n"/>
      <c r="BC10" s="5" t="n"/>
    </row>
    <row r="11">
      <c r="A11" s="5" t="n">
        <v>9</v>
      </c>
      <c r="B11" s="5">
        <f>_z15be9*'测算'!$I$12</f>
        <v/>
      </c>
      <c r="C11" s="5">
        <f>B11*'测算'!$J$12</f>
        <v/>
      </c>
      <c r="D11" s="5">
        <f>IF('测算'!$H$12="丰水期",_z35jsg,_z20bng)</f>
        <v/>
      </c>
      <c r="E11" s="5">
        <f>'测算'!$K$12*D11</f>
        <v/>
      </c>
      <c r="F11" s="5">
        <f>MAX(E11,_z7rkww)</f>
        <v/>
      </c>
      <c r="G11" s="5">
        <f>C11*F11</f>
        <v/>
      </c>
      <c r="H11" s="5">
        <f>C11*'测算'!$K$12</f>
        <v/>
      </c>
      <c r="I11" s="5">
        <f>C11*('测算'!$K$12-F11)</f>
        <v/>
      </c>
      <c r="J11" s="5">
        <f>IF(F11&gt;E11+0.000000001,1,0)</f>
        <v/>
      </c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  <c r="AC11" s="5" t="n"/>
      <c r="AD11" s="5" t="n"/>
      <c r="AE11" s="5" t="n"/>
      <c r="AF11" s="5" t="n"/>
      <c r="AG11" s="5" t="n"/>
      <c r="AH11" s="5" t="n"/>
      <c r="AI11" s="5" t="n"/>
      <c r="AJ11" s="5" t="n"/>
      <c r="AK11" s="5" t="n"/>
      <c r="AL11" s="5" t="n"/>
      <c r="AM11" s="5" t="n"/>
      <c r="AN11" s="5" t="n"/>
      <c r="AO11" s="5" t="n"/>
      <c r="AP11" s="5" t="n"/>
      <c r="AQ11" s="5" t="n"/>
      <c r="AR11" s="5" t="n"/>
      <c r="AS11" s="5" t="n"/>
      <c r="AT11" s="5" t="n"/>
      <c r="AU11" s="5" t="n"/>
      <c r="AV11" s="5" t="n"/>
      <c r="AW11" s="5" t="n"/>
      <c r="AX11" s="5" t="n"/>
      <c r="AY11" s="5" t="n"/>
      <c r="AZ11" s="5" t="n"/>
      <c r="BA11" s="5" t="n"/>
      <c r="BB11" s="5" t="n"/>
      <c r="BC11" s="5" t="n"/>
    </row>
    <row r="12">
      <c r="A12" s="5" t="n">
        <v>10</v>
      </c>
      <c r="B12" s="5">
        <f>_z15be9*'测算'!$I$13</f>
        <v/>
      </c>
      <c r="C12" s="5">
        <f>B12*'测算'!$J$13</f>
        <v/>
      </c>
      <c r="D12" s="5">
        <f>IF('测算'!$H$13="丰水期",_z35jsg,_z20bng)</f>
        <v/>
      </c>
      <c r="E12" s="5">
        <f>'测算'!$K$13*D12</f>
        <v/>
      </c>
      <c r="F12" s="5">
        <f>MAX(E12,_z7rkww)</f>
        <v/>
      </c>
      <c r="G12" s="5">
        <f>C12*F12</f>
        <v/>
      </c>
      <c r="H12" s="5">
        <f>C12*'测算'!$K$13</f>
        <v/>
      </c>
      <c r="I12" s="5">
        <f>C12*('测算'!$K$13-F12)</f>
        <v/>
      </c>
      <c r="J12" s="5">
        <f>IF(F12&gt;E12+0.000000001,1,0)</f>
        <v/>
      </c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  <c r="AC12" s="5" t="n"/>
      <c r="AD12" s="5" t="n"/>
      <c r="AE12" s="5" t="n"/>
      <c r="AF12" s="5" t="n"/>
      <c r="AG12" s="5" t="n"/>
      <c r="AH12" s="5" t="n"/>
      <c r="AI12" s="5" t="n"/>
      <c r="AJ12" s="5" t="n"/>
      <c r="AK12" s="5" t="n"/>
      <c r="AL12" s="5" t="n"/>
      <c r="AM12" s="5" t="n"/>
      <c r="AN12" s="5" t="n"/>
      <c r="AO12" s="5" t="n"/>
      <c r="AP12" s="5" t="n"/>
      <c r="AQ12" s="5" t="n"/>
      <c r="AR12" s="5" t="n"/>
      <c r="AS12" s="5" t="n"/>
      <c r="AT12" s="5" t="n"/>
      <c r="AU12" s="5" t="n"/>
      <c r="AV12" s="5" t="n"/>
      <c r="AW12" s="5" t="n"/>
      <c r="AX12" s="5" t="n"/>
      <c r="AY12" s="5" t="n"/>
      <c r="AZ12" s="5" t="n"/>
      <c r="BA12" s="5" t="n"/>
      <c r="BB12" s="5" t="n"/>
      <c r="BC12" s="5" t="n"/>
    </row>
    <row r="13">
      <c r="A13" s="5" t="n">
        <v>11</v>
      </c>
      <c r="B13" s="5">
        <f>_z15be9*'测算'!$I$14</f>
        <v/>
      </c>
      <c r="C13" s="5">
        <f>B13*'测算'!$J$14</f>
        <v/>
      </c>
      <c r="D13" s="5">
        <f>IF('测算'!$H$14="丰水期",_z35jsg,_z20bng)</f>
        <v/>
      </c>
      <c r="E13" s="5">
        <f>'测算'!$K$14*D13</f>
        <v/>
      </c>
      <c r="F13" s="5">
        <f>MAX(E13,_z7rkww)</f>
        <v/>
      </c>
      <c r="G13" s="5">
        <f>C13*F13</f>
        <v/>
      </c>
      <c r="H13" s="5">
        <f>C13*'测算'!$K$14</f>
        <v/>
      </c>
      <c r="I13" s="5">
        <f>C13*('测算'!$K$14-F13)</f>
        <v/>
      </c>
      <c r="J13" s="5">
        <f>IF(F13&gt;E13+0.000000001,1,0)</f>
        <v/>
      </c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  <c r="AC13" s="5" t="n"/>
      <c r="AD13" s="5" t="n"/>
      <c r="AE13" s="5" t="n"/>
      <c r="AF13" s="5" t="n"/>
      <c r="AG13" s="5" t="n"/>
      <c r="AH13" s="5" t="n"/>
      <c r="AI13" s="5" t="n"/>
      <c r="AJ13" s="5" t="n"/>
      <c r="AK13" s="5" t="n"/>
      <c r="AL13" s="5" t="n"/>
      <c r="AM13" s="5" t="n"/>
      <c r="AN13" s="5" t="n"/>
      <c r="AO13" s="5" t="n"/>
      <c r="AP13" s="5" t="n"/>
      <c r="AQ13" s="5" t="n"/>
      <c r="AR13" s="5" t="n"/>
      <c r="AS13" s="5" t="n"/>
      <c r="AT13" s="5" t="n"/>
      <c r="AU13" s="5" t="n"/>
      <c r="AV13" s="5" t="n"/>
      <c r="AW13" s="5" t="n"/>
      <c r="AX13" s="5" t="n"/>
      <c r="AY13" s="5" t="n"/>
      <c r="AZ13" s="5" t="n"/>
      <c r="BA13" s="5" t="n"/>
      <c r="BB13" s="5" t="n"/>
      <c r="BC13" s="5" t="n"/>
    </row>
    <row r="14">
      <c r="A14" s="5" t="n">
        <v>12</v>
      </c>
      <c r="B14" s="5">
        <f>_z15be9*'测算'!$I$15</f>
        <v/>
      </c>
      <c r="C14" s="5">
        <f>B14*'测算'!$J$15</f>
        <v/>
      </c>
      <c r="D14" s="5">
        <f>IF('测算'!$H$15="丰水期",_z35jsg,_z20bng)</f>
        <v/>
      </c>
      <c r="E14" s="5">
        <f>'测算'!$K$15*D14</f>
        <v/>
      </c>
      <c r="F14" s="5">
        <f>MAX(E14,_z7rkww)</f>
        <v/>
      </c>
      <c r="G14" s="5">
        <f>C14*F14</f>
        <v/>
      </c>
      <c r="H14" s="5">
        <f>C14*'测算'!$K$15</f>
        <v/>
      </c>
      <c r="I14" s="5">
        <f>C14*('测算'!$K$15-F14)</f>
        <v/>
      </c>
      <c r="J14" s="5">
        <f>IF(F14&gt;E14+0.000000001,1,0)</f>
        <v/>
      </c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</row>
    <row r="16">
      <c r="A16" s="5" t="inlineStr">
        <is>
          <t>capex</t>
        </is>
      </c>
      <c r="B16" s="5">
        <f>_zyev25*_zbk3s9*100</f>
        <v/>
      </c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  <c r="AC16" s="5" t="n"/>
      <c r="AD16" s="5" t="n"/>
      <c r="AE16" s="5" t="n"/>
      <c r="AF16" s="5" t="n"/>
      <c r="AG16" s="5" t="n"/>
      <c r="AH16" s="5" t="n"/>
      <c r="AI16" s="5" t="n"/>
      <c r="AJ16" s="5" t="n"/>
      <c r="AK16" s="5" t="n"/>
      <c r="AL16" s="5" t="n"/>
      <c r="AM16" s="5" t="n"/>
      <c r="AN16" s="5" t="n"/>
      <c r="AO16" s="5" t="n"/>
      <c r="AP16" s="5" t="n"/>
      <c r="AQ16" s="5" t="n"/>
      <c r="AR16" s="5" t="n"/>
      <c r="AS16" s="5" t="n"/>
      <c r="AT16" s="5" t="n"/>
      <c r="AU16" s="5" t="n"/>
      <c r="AV16" s="5" t="n"/>
      <c r="AW16" s="5" t="n"/>
      <c r="AX16" s="5" t="n"/>
      <c r="AY16" s="5" t="n"/>
      <c r="AZ16" s="5" t="n"/>
      <c r="BA16" s="5" t="n"/>
      <c r="BB16" s="5" t="n"/>
      <c r="BC16" s="5" t="n"/>
    </row>
    <row r="17">
      <c r="A17" s="5" t="inlineStr">
        <is>
          <t>genY1</t>
        </is>
      </c>
      <c r="B17" s="5">
        <f>_zyev25*_zo8el3/10</f>
        <v/>
      </c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5" t="n"/>
      <c r="AH17" s="5" t="n"/>
      <c r="AI17" s="5" t="n"/>
      <c r="AJ17" s="5" t="n"/>
      <c r="AK17" s="5" t="n"/>
      <c r="AL17" s="5" t="n"/>
      <c r="AM17" s="5" t="n"/>
      <c r="AN17" s="5" t="n"/>
      <c r="AO17" s="5" t="n"/>
      <c r="AP17" s="5" t="n"/>
      <c r="AQ17" s="5" t="n"/>
      <c r="AR17" s="5" t="n"/>
      <c r="AS17" s="5" t="n"/>
      <c r="AT17" s="5" t="n"/>
      <c r="AU17" s="5" t="n"/>
      <c r="AV17" s="5" t="n"/>
      <c r="AW17" s="5" t="n"/>
      <c r="AX17" s="5" t="n"/>
      <c r="AY17" s="5" t="n"/>
      <c r="AZ17" s="5" t="n"/>
      <c r="BA17" s="5" t="n"/>
      <c r="BB17" s="5" t="n"/>
      <c r="BC17" s="5" t="n"/>
    </row>
    <row r="18">
      <c r="A18" s="5" t="inlineStr">
        <is>
          <t>equity</t>
        </is>
      </c>
      <c r="B18" s="5">
        <f>_z6ga35*_zypcj4</f>
        <v/>
      </c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  <c r="BC18" s="5" t="n"/>
    </row>
    <row r="19">
      <c r="A19" s="5" t="inlineStr">
        <is>
          <t>loan</t>
        </is>
      </c>
      <c r="B19" s="5">
        <f>_z6ga35-_zn0hoh</f>
        <v/>
      </c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</row>
    <row r="20">
      <c r="A20" s="5" t="inlineStr">
        <is>
          <t>vat_pool0</t>
        </is>
      </c>
      <c r="B20" s="5">
        <f>_z6ga35*_z3dr73</f>
        <v/>
      </c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  <c r="AC20" s="5" t="n"/>
      <c r="AD20" s="5" t="n"/>
      <c r="AE20" s="5" t="n"/>
      <c r="AF20" s="5" t="n"/>
      <c r="AG20" s="5" t="n"/>
      <c r="AH20" s="5" t="n"/>
      <c r="AI20" s="5" t="n"/>
      <c r="AJ20" s="5" t="n"/>
      <c r="AK20" s="5" t="n"/>
      <c r="AL20" s="5" t="n"/>
      <c r="AM20" s="5" t="n"/>
      <c r="AN20" s="5" t="n"/>
      <c r="AO20" s="5" t="n"/>
      <c r="AP20" s="5" t="n"/>
      <c r="AQ20" s="5" t="n"/>
      <c r="AR20" s="5" t="n"/>
      <c r="AS20" s="5" t="n"/>
      <c r="AT20" s="5" t="n"/>
      <c r="AU20" s="5" t="n"/>
      <c r="AV20" s="5" t="n"/>
      <c r="AW20" s="5" t="n"/>
      <c r="AX20" s="5" t="n"/>
      <c r="AY20" s="5" t="n"/>
      <c r="AZ20" s="5" t="n"/>
      <c r="BA20" s="5" t="n"/>
      <c r="BB20" s="5" t="n"/>
      <c r="BC20" s="5" t="n"/>
    </row>
    <row r="21">
      <c r="A21" s="5" t="inlineStr">
        <is>
          <t>capex_ded</t>
        </is>
      </c>
      <c r="B21" s="5">
        <f>_z6ga35*(1-_z3dr73)</f>
        <v/>
      </c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  <c r="AC21" s="5" t="n"/>
      <c r="AD21" s="5" t="n"/>
      <c r="AE21" s="5" t="n"/>
      <c r="AF21" s="5" t="n"/>
      <c r="AG21" s="5" t="n"/>
      <c r="AH21" s="5" t="n"/>
      <c r="AI21" s="5" t="n"/>
      <c r="AJ21" s="5" t="n"/>
      <c r="AK21" s="5" t="n"/>
      <c r="AL21" s="5" t="n"/>
      <c r="AM21" s="5" t="n"/>
      <c r="AN21" s="5" t="n"/>
      <c r="AO21" s="5" t="n"/>
      <c r="AP21" s="5" t="n"/>
      <c r="AQ21" s="5" t="n"/>
      <c r="AR21" s="5" t="n"/>
      <c r="AS21" s="5" t="n"/>
      <c r="AT21" s="5" t="n"/>
      <c r="AU21" s="5" t="n"/>
      <c r="AV21" s="5" t="n"/>
      <c r="AW21" s="5" t="n"/>
      <c r="AX21" s="5" t="n"/>
      <c r="AY21" s="5" t="n"/>
      <c r="AZ21" s="5" t="n"/>
      <c r="BA21" s="5" t="n"/>
      <c r="BB21" s="5" t="n"/>
      <c r="BC21" s="5" t="n"/>
    </row>
    <row r="22">
      <c r="A22" s="5" t="inlineStr">
        <is>
          <t>dep_base</t>
        </is>
      </c>
      <c r="B22" s="5">
        <f>_z2dg1x*(1-_zqzu0h)</f>
        <v/>
      </c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  <c r="AD22" s="5" t="n"/>
      <c r="AE22" s="5" t="n"/>
      <c r="AF22" s="5" t="n"/>
      <c r="AG22" s="5" t="n"/>
      <c r="AH22" s="5" t="n"/>
      <c r="AI22" s="5" t="n"/>
      <c r="AJ22" s="5" t="n"/>
      <c r="AK22" s="5" t="n"/>
      <c r="AL22" s="5" t="n"/>
      <c r="AM22" s="5" t="n"/>
      <c r="AN22" s="5" t="n"/>
      <c r="AO22" s="5" t="n"/>
      <c r="AP22" s="5" t="n"/>
      <c r="AQ22" s="5" t="n"/>
      <c r="AR22" s="5" t="n"/>
      <c r="AS22" s="5" t="n"/>
      <c r="AT22" s="5" t="n"/>
      <c r="AU22" s="5" t="n"/>
      <c r="AV22" s="5" t="n"/>
      <c r="AW22" s="5" t="n"/>
      <c r="AX22" s="5" t="n"/>
      <c r="AY22" s="5" t="n"/>
      <c r="AZ22" s="5" t="n"/>
      <c r="BA22" s="5" t="n"/>
      <c r="BB22" s="5" t="n"/>
      <c r="BC22" s="5" t="n"/>
    </row>
    <row r="23">
      <c r="A23" s="5" t="inlineStr">
        <is>
          <t>salvage_value</t>
        </is>
      </c>
      <c r="B23" s="5">
        <f>_z2dg1x*_zqzu0h</f>
        <v/>
      </c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  <c r="AC23" s="5" t="n"/>
      <c r="AD23" s="5" t="n"/>
      <c r="AE23" s="5" t="n"/>
      <c r="AF23" s="5" t="n"/>
      <c r="AG23" s="5" t="n"/>
      <c r="AH23" s="5" t="n"/>
      <c r="AI23" s="5" t="n"/>
      <c r="AJ23" s="5" t="n"/>
      <c r="AK23" s="5" t="n"/>
      <c r="AL23" s="5" t="n"/>
      <c r="AM23" s="5" t="n"/>
      <c r="AN23" s="5" t="n"/>
      <c r="AO23" s="5" t="n"/>
      <c r="AP23" s="5" t="n"/>
      <c r="AQ23" s="5" t="n"/>
      <c r="AR23" s="5" t="n"/>
      <c r="AS23" s="5" t="n"/>
      <c r="AT23" s="5" t="n"/>
      <c r="AU23" s="5" t="n"/>
      <c r="AV23" s="5" t="n"/>
      <c r="AW23" s="5" t="n"/>
      <c r="AX23" s="5" t="n"/>
      <c r="AY23" s="5" t="n"/>
      <c r="AZ23" s="5" t="n"/>
      <c r="BA23" s="5" t="n"/>
      <c r="BB23" s="5" t="n"/>
      <c r="BC23" s="5" t="n"/>
    </row>
    <row r="24">
      <c r="A24" s="5" t="inlineStr">
        <is>
          <t>n_years</t>
        </is>
      </c>
      <c r="B24" s="5">
        <f>ROUND(_zbwnle,0)</f>
        <v/>
      </c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  <c r="AC24" s="5" t="n"/>
      <c r="AD24" s="5" t="n"/>
      <c r="AE24" s="5" t="n"/>
      <c r="AF24" s="5" t="n"/>
      <c r="AG24" s="5" t="n"/>
      <c r="AH24" s="5" t="n"/>
      <c r="AI24" s="5" t="n"/>
      <c r="AJ24" s="5" t="n"/>
      <c r="AK24" s="5" t="n"/>
      <c r="AL24" s="5" t="n"/>
      <c r="AM24" s="5" t="n"/>
      <c r="AN24" s="5" t="n"/>
      <c r="AO24" s="5" t="n"/>
      <c r="AP24" s="5" t="n"/>
      <c r="AQ24" s="5" t="n"/>
      <c r="AR24" s="5" t="n"/>
      <c r="AS24" s="5" t="n"/>
      <c r="AT24" s="5" t="n"/>
      <c r="AU24" s="5" t="n"/>
      <c r="AV24" s="5" t="n"/>
      <c r="AW24" s="5" t="n"/>
      <c r="AX24" s="5" t="n"/>
      <c r="AY24" s="5" t="n"/>
      <c r="AZ24" s="5" t="n"/>
      <c r="BA24" s="5" t="n"/>
      <c r="BB24" s="5" t="n"/>
      <c r="BC24" s="5" t="n"/>
    </row>
    <row r="25">
      <c r="A25" s="5" t="inlineStr">
        <is>
          <t>dep_years_tax</t>
        </is>
      </c>
      <c r="B25" s="5">
        <f>ROUND(_zlv3g4,0)</f>
        <v/>
      </c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  <c r="AC25" s="5" t="n"/>
      <c r="AD25" s="5" t="n"/>
      <c r="AE25" s="5" t="n"/>
      <c r="AF25" s="5" t="n"/>
      <c r="AG25" s="5" t="n"/>
      <c r="AH25" s="5" t="n"/>
      <c r="AI25" s="5" t="n"/>
      <c r="AJ25" s="5" t="n"/>
      <c r="AK25" s="5" t="n"/>
      <c r="AL25" s="5" t="n"/>
      <c r="AM25" s="5" t="n"/>
      <c r="AN25" s="5" t="n"/>
      <c r="AO25" s="5" t="n"/>
      <c r="AP25" s="5" t="n"/>
      <c r="AQ25" s="5" t="n"/>
      <c r="AR25" s="5" t="n"/>
      <c r="AS25" s="5" t="n"/>
      <c r="AT25" s="5" t="n"/>
      <c r="AU25" s="5" t="n"/>
      <c r="AV25" s="5" t="n"/>
      <c r="AW25" s="5" t="n"/>
      <c r="AX25" s="5" t="n"/>
      <c r="AY25" s="5" t="n"/>
      <c r="AZ25" s="5" t="n"/>
      <c r="BA25" s="5" t="n"/>
      <c r="BB25" s="5" t="n"/>
      <c r="BC25" s="5" t="n"/>
    </row>
    <row r="26">
      <c r="A26" s="5" t="inlineStr">
        <is>
          <t>terminal_value</t>
        </is>
      </c>
      <c r="B26" s="5">
        <f>_z4gfqk+_zxo0o2*MAX(0,_zk7d33-_zx5hja)/_zk7d33</f>
        <v/>
      </c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  <c r="AC26" s="5" t="n"/>
      <c r="AD26" s="5" t="n"/>
      <c r="AE26" s="5" t="n"/>
      <c r="AF26" s="5" t="n"/>
      <c r="AG26" s="5" t="n"/>
      <c r="AH26" s="5" t="n"/>
      <c r="AI26" s="5" t="n"/>
      <c r="AJ26" s="5" t="n"/>
      <c r="AK26" s="5" t="n"/>
      <c r="AL26" s="5" t="n"/>
      <c r="AM26" s="5" t="n"/>
      <c r="AN26" s="5" t="n"/>
      <c r="AO26" s="5" t="n"/>
      <c r="AP26" s="5" t="n"/>
      <c r="AQ26" s="5" t="n"/>
      <c r="AR26" s="5" t="n"/>
      <c r="AS26" s="5" t="n"/>
      <c r="AT26" s="5" t="n"/>
      <c r="AU26" s="5" t="n"/>
      <c r="AV26" s="5" t="n"/>
      <c r="AW26" s="5" t="n"/>
      <c r="AX26" s="5" t="n"/>
      <c r="AY26" s="5" t="n"/>
      <c r="AZ26" s="5" t="n"/>
      <c r="BA26" s="5" t="n"/>
      <c r="BB26" s="5" t="n"/>
      <c r="BC26" s="5" t="n"/>
    </row>
    <row r="27">
      <c r="A27" s="5" t="inlineStr">
        <is>
          <t>loan_years_r</t>
        </is>
      </c>
      <c r="B27" s="5">
        <f>ROUND(_z7z1u1,0)</f>
        <v/>
      </c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  <c r="AC27" s="5" t="n"/>
      <c r="AD27" s="5" t="n"/>
      <c r="AE27" s="5" t="n"/>
      <c r="AF27" s="5" t="n"/>
      <c r="AG27" s="5" t="n"/>
      <c r="AH27" s="5" t="n"/>
      <c r="AI27" s="5" t="n"/>
      <c r="AJ27" s="5" t="n"/>
      <c r="AK27" s="5" t="n"/>
      <c r="AL27" s="5" t="n"/>
      <c r="AM27" s="5" t="n"/>
      <c r="AN27" s="5" t="n"/>
      <c r="AO27" s="5" t="n"/>
      <c r="AP27" s="5" t="n"/>
      <c r="AQ27" s="5" t="n"/>
      <c r="AR27" s="5" t="n"/>
      <c r="AS27" s="5" t="n"/>
      <c r="AT27" s="5" t="n"/>
      <c r="AU27" s="5" t="n"/>
      <c r="AV27" s="5" t="n"/>
      <c r="AW27" s="5" t="n"/>
      <c r="AX27" s="5" t="n"/>
      <c r="AY27" s="5" t="n"/>
      <c r="AZ27" s="5" t="n"/>
      <c r="BA27" s="5" t="n"/>
      <c r="BB27" s="5" t="n"/>
      <c r="BC27" s="5" t="n"/>
    </row>
    <row r="28">
      <c r="A28" s="5" t="inlineStr">
        <is>
          <t>pay</t>
        </is>
      </c>
      <c r="B28" s="5">
        <f>IF(AND(_z2al7i&gt;0,_zmqr32&gt;0),IF(_zz5rij&gt;0,_zmqr32*_zz5rij/(1-(1+_zz5rij)^-_z2al7i),_zmqr32/_z2al7i),0)</f>
        <v/>
      </c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</row>
    <row r="29">
      <c r="A29" s="5" t="inlineStr">
        <is>
          <t>genE</t>
        </is>
      </c>
      <c r="B29" s="5">
        <f>SUM(B3:B14)</f>
        <v/>
      </c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  <c r="AC29" s="5" t="n"/>
      <c r="AD29" s="5" t="n"/>
      <c r="AE29" s="5" t="n"/>
      <c r="AF29" s="5" t="n"/>
      <c r="AG29" s="5" t="n"/>
      <c r="AH29" s="5" t="n"/>
      <c r="AI29" s="5" t="n"/>
      <c r="AJ29" s="5" t="n"/>
      <c r="AK29" s="5" t="n"/>
      <c r="AL29" s="5" t="n"/>
      <c r="AM29" s="5" t="n"/>
      <c r="AN29" s="5" t="n"/>
      <c r="AO29" s="5" t="n"/>
      <c r="AP29" s="5" t="n"/>
      <c r="AQ29" s="5" t="n"/>
      <c r="AR29" s="5" t="n"/>
      <c r="AS29" s="5" t="n"/>
      <c r="AT29" s="5" t="n"/>
      <c r="AU29" s="5" t="n"/>
      <c r="AV29" s="5" t="n"/>
      <c r="AW29" s="5" t="n"/>
      <c r="AX29" s="5" t="n"/>
      <c r="AY29" s="5" t="n"/>
      <c r="AZ29" s="5" t="n"/>
      <c r="BA29" s="5" t="n"/>
      <c r="BB29" s="5" t="n"/>
      <c r="BC29" s="5" t="n"/>
    </row>
    <row r="30">
      <c r="A30" s="5" t="inlineStr">
        <is>
          <t>selfE</t>
        </is>
      </c>
      <c r="B30" s="5">
        <f>SUM(C3:C14)</f>
        <v/>
      </c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  <c r="AC30" s="5" t="n"/>
      <c r="AD30" s="5" t="n"/>
      <c r="AE30" s="5" t="n"/>
      <c r="AF30" s="5" t="n"/>
      <c r="AG30" s="5" t="n"/>
      <c r="AH30" s="5" t="n"/>
      <c r="AI30" s="5" t="n"/>
      <c r="AJ30" s="5" t="n"/>
      <c r="AK30" s="5" t="n"/>
      <c r="AL30" s="5" t="n"/>
      <c r="AM30" s="5" t="n"/>
      <c r="AN30" s="5" t="n"/>
      <c r="AO30" s="5" t="n"/>
      <c r="AP30" s="5" t="n"/>
      <c r="AQ30" s="5" t="n"/>
      <c r="AR30" s="5" t="n"/>
      <c r="AS30" s="5" t="n"/>
      <c r="AT30" s="5" t="n"/>
      <c r="AU30" s="5" t="n"/>
      <c r="AV30" s="5" t="n"/>
      <c r="AW30" s="5" t="n"/>
      <c r="AX30" s="5" t="n"/>
      <c r="AY30" s="5" t="n"/>
      <c r="AZ30" s="5" t="n"/>
      <c r="BA30" s="5" t="n"/>
      <c r="BB30" s="5" t="n"/>
      <c r="BC30" s="5" t="n"/>
    </row>
    <row r="31">
      <c r="A31" s="5" t="inlineStr">
        <is>
          <t>selfRev</t>
        </is>
      </c>
      <c r="B31" s="5">
        <f>SUM(G3:G14)</f>
        <v/>
      </c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</row>
    <row r="32">
      <c r="A32" s="5" t="inlineStr">
        <is>
          <t>tariffRev</t>
        </is>
      </c>
      <c r="B32" s="5">
        <f>SUM(H3:H14)</f>
        <v/>
      </c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  <c r="AC32" s="5" t="n"/>
      <c r="AD32" s="5" t="n"/>
      <c r="AE32" s="5" t="n"/>
      <c r="AF32" s="5" t="n"/>
      <c r="AG32" s="5" t="n"/>
      <c r="AH32" s="5" t="n"/>
      <c r="AI32" s="5" t="n"/>
      <c r="AJ32" s="5" t="n"/>
      <c r="AK32" s="5" t="n"/>
      <c r="AL32" s="5" t="n"/>
      <c r="AM32" s="5" t="n"/>
      <c r="AN32" s="5" t="n"/>
      <c r="AO32" s="5" t="n"/>
      <c r="AP32" s="5" t="n"/>
      <c r="AQ32" s="5" t="n"/>
      <c r="AR32" s="5" t="n"/>
      <c r="AS32" s="5" t="n"/>
      <c r="AT32" s="5" t="n"/>
      <c r="AU32" s="5" t="n"/>
      <c r="AV32" s="5" t="n"/>
      <c r="AW32" s="5" t="n"/>
      <c r="AX32" s="5" t="n"/>
      <c r="AY32" s="5" t="n"/>
      <c r="AZ32" s="5" t="n"/>
      <c r="BA32" s="5" t="n"/>
      <c r="BB32" s="5" t="n"/>
      <c r="BC32" s="5" t="n"/>
    </row>
    <row r="33">
      <c r="A33" s="5" t="inlineStr">
        <is>
          <t>saving_y1</t>
        </is>
      </c>
      <c r="B33" s="5">
        <f>SUM(I3:I14)</f>
        <v/>
      </c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  <c r="AC33" s="5" t="n"/>
      <c r="AD33" s="5" t="n"/>
      <c r="AE33" s="5" t="n"/>
      <c r="AF33" s="5" t="n"/>
      <c r="AG33" s="5" t="n"/>
      <c r="AH33" s="5" t="n"/>
      <c r="AI33" s="5" t="n"/>
      <c r="AJ33" s="5" t="n"/>
      <c r="AK33" s="5" t="n"/>
      <c r="AL33" s="5" t="n"/>
      <c r="AM33" s="5" t="n"/>
      <c r="AN33" s="5" t="n"/>
      <c r="AO33" s="5" t="n"/>
      <c r="AP33" s="5" t="n"/>
      <c r="AQ33" s="5" t="n"/>
      <c r="AR33" s="5" t="n"/>
      <c r="AS33" s="5" t="n"/>
      <c r="AT33" s="5" t="n"/>
      <c r="AU33" s="5" t="n"/>
      <c r="AV33" s="5" t="n"/>
      <c r="AW33" s="5" t="n"/>
      <c r="AX33" s="5" t="n"/>
      <c r="AY33" s="5" t="n"/>
      <c r="AZ33" s="5" t="n"/>
      <c r="BA33" s="5" t="n"/>
      <c r="BB33" s="5" t="n"/>
      <c r="BC33" s="5" t="n"/>
    </row>
    <row r="34">
      <c r="A34" s="5" t="inlineStr">
        <is>
          <t>floor_hits</t>
        </is>
      </c>
      <c r="B34" s="5">
        <f>SUM(J3:J14)</f>
        <v/>
      </c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  <c r="AC34" s="5" t="n"/>
      <c r="AD34" s="5" t="n"/>
      <c r="AE34" s="5" t="n"/>
      <c r="AF34" s="5" t="n"/>
      <c r="AG34" s="5" t="n"/>
      <c r="AH34" s="5" t="n"/>
      <c r="AI34" s="5" t="n"/>
      <c r="AJ34" s="5" t="n"/>
      <c r="AK34" s="5" t="n"/>
      <c r="AL34" s="5" t="n"/>
      <c r="AM34" s="5" t="n"/>
      <c r="AN34" s="5" t="n"/>
      <c r="AO34" s="5" t="n"/>
      <c r="AP34" s="5" t="n"/>
      <c r="AQ34" s="5" t="n"/>
      <c r="AR34" s="5" t="n"/>
      <c r="AS34" s="5" t="n"/>
      <c r="AT34" s="5" t="n"/>
      <c r="AU34" s="5" t="n"/>
      <c r="AV34" s="5" t="n"/>
      <c r="AW34" s="5" t="n"/>
      <c r="AX34" s="5" t="n"/>
      <c r="AY34" s="5" t="n"/>
      <c r="AZ34" s="5" t="n"/>
      <c r="BA34" s="5" t="n"/>
      <c r="BB34" s="5" t="n"/>
      <c r="BC34" s="5" t="n"/>
    </row>
    <row r="35">
      <c r="A35" s="5" t="inlineStr">
        <is>
          <t>w_self_price</t>
        </is>
      </c>
      <c r="B35" s="5">
        <f>IF(_z9s2nl&gt;0,_zuq05y/_z9s2nl,0)</f>
        <v/>
      </c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  <c r="AC35" s="5" t="n"/>
      <c r="AD35" s="5" t="n"/>
      <c r="AE35" s="5" t="n"/>
      <c r="AF35" s="5" t="n"/>
      <c r="AG35" s="5" t="n"/>
      <c r="AH35" s="5" t="n"/>
      <c r="AI35" s="5" t="n"/>
      <c r="AJ35" s="5" t="n"/>
      <c r="AK35" s="5" t="n"/>
      <c r="AL35" s="5" t="n"/>
      <c r="AM35" s="5" t="n"/>
      <c r="AN35" s="5" t="n"/>
      <c r="AO35" s="5" t="n"/>
      <c r="AP35" s="5" t="n"/>
      <c r="AQ35" s="5" t="n"/>
      <c r="AR35" s="5" t="n"/>
      <c r="AS35" s="5" t="n"/>
      <c r="AT35" s="5" t="n"/>
      <c r="AU35" s="5" t="n"/>
      <c r="AV35" s="5" t="n"/>
      <c r="AW35" s="5" t="n"/>
      <c r="AX35" s="5" t="n"/>
      <c r="AY35" s="5" t="n"/>
      <c r="AZ35" s="5" t="n"/>
      <c r="BA35" s="5" t="n"/>
      <c r="BB35" s="5" t="n"/>
      <c r="BC35" s="5" t="n"/>
    </row>
    <row r="36">
      <c r="A36" s="5" t="inlineStr">
        <is>
          <t>w_tariff</t>
        </is>
      </c>
      <c r="B36" s="5">
        <f>IF(_z9s2nl&gt;0,_zhgomo/_z9s2nl,0)</f>
        <v/>
      </c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</row>
    <row r="37">
      <c r="A37" s="5" t="inlineStr">
        <is>
          <t>self_ratio_all</t>
        </is>
      </c>
      <c r="B37" s="5">
        <f>IF(_zr6ep0&gt;0,_z9s2nl/_zr6ep0,0)</f>
        <v/>
      </c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  <c r="AC37" s="5" t="n"/>
      <c r="AD37" s="5" t="n"/>
      <c r="AE37" s="5" t="n"/>
      <c r="AF37" s="5" t="n"/>
      <c r="AG37" s="5" t="n"/>
      <c r="AH37" s="5" t="n"/>
      <c r="AI37" s="5" t="n"/>
      <c r="AJ37" s="5" t="n"/>
      <c r="AK37" s="5" t="n"/>
      <c r="AL37" s="5" t="n"/>
      <c r="AM37" s="5" t="n"/>
      <c r="AN37" s="5" t="n"/>
      <c r="AO37" s="5" t="n"/>
      <c r="AP37" s="5" t="n"/>
      <c r="AQ37" s="5" t="n"/>
      <c r="AR37" s="5" t="n"/>
      <c r="AS37" s="5" t="n"/>
      <c r="AT37" s="5" t="n"/>
      <c r="AU37" s="5" t="n"/>
      <c r="AV37" s="5" t="n"/>
      <c r="AW37" s="5" t="n"/>
      <c r="AX37" s="5" t="n"/>
      <c r="AY37" s="5" t="n"/>
      <c r="AZ37" s="5" t="n"/>
      <c r="BA37" s="5" t="n"/>
      <c r="BB37" s="5" t="n"/>
      <c r="BC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  <c r="AC38" s="5" t="n"/>
      <c r="AD38" s="5" t="n"/>
      <c r="AE38" s="5" t="n"/>
      <c r="AF38" s="5" t="n"/>
      <c r="AG38" s="5" t="n"/>
      <c r="AH38" s="5" t="n"/>
      <c r="AI38" s="5" t="n"/>
      <c r="AJ38" s="5" t="n"/>
      <c r="AK38" s="5" t="n"/>
      <c r="AL38" s="5" t="n"/>
      <c r="AM38" s="5" t="n"/>
      <c r="AN38" s="5" t="n"/>
      <c r="AO38" s="5" t="n"/>
      <c r="AP38" s="5" t="n"/>
      <c r="AQ38" s="5" t="n"/>
      <c r="AR38" s="5" t="n"/>
      <c r="AS38" s="5" t="n"/>
      <c r="AT38" s="5" t="n"/>
      <c r="AU38" s="5" t="n"/>
      <c r="AV38" s="5" t="n"/>
      <c r="AW38" s="5" t="n"/>
      <c r="AX38" s="5" t="n"/>
      <c r="AY38" s="5" t="n"/>
      <c r="AZ38" s="5" t="n"/>
      <c r="BA38" s="5" t="n"/>
      <c r="BB38" s="5" t="n"/>
      <c r="BC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</row>
    <row r="40">
      <c r="A40" s="5" t="inlineStr">
        <is>
          <t>年份</t>
        </is>
      </c>
      <c r="B40" s="5" t="inlineStr">
        <is>
          <t>运营期内</t>
        </is>
      </c>
      <c r="C40" s="5" t="inlineStr">
        <is>
          <t>衰减系数</t>
        </is>
      </c>
      <c r="D40" s="5" t="inlineStr">
        <is>
          <t>发电量</t>
        </is>
      </c>
      <c r="E40" s="5" t="inlineStr">
        <is>
          <t>自用电量</t>
        </is>
      </c>
      <c r="F40" s="5" t="inlineStr">
        <is>
          <t>余电上网</t>
        </is>
      </c>
      <c r="G40" s="5" t="inlineStr">
        <is>
          <t>含税收入</t>
        </is>
      </c>
      <c r="H40" s="5" t="inlineStr">
        <is>
          <t>不含税收入</t>
        </is>
      </c>
      <c r="I40" s="5" t="inlineStr">
        <is>
          <t>销项税</t>
        </is>
      </c>
      <c r="J40" s="5" t="inlineStr">
        <is>
          <t>逆变器更换</t>
        </is>
      </c>
      <c r="K40" s="5" t="inlineStr">
        <is>
          <t>经营成本</t>
        </is>
      </c>
      <c r="L40" s="5" t="inlineStr">
        <is>
          <t>息税折旧前利润</t>
        </is>
      </c>
      <c r="M40" s="5" t="inlineStr">
        <is>
          <t>折旧</t>
        </is>
      </c>
      <c r="N40" s="5" t="inlineStr">
        <is>
          <t>期初贷款余额</t>
        </is>
      </c>
      <c r="O40" s="5" t="inlineStr">
        <is>
          <t>利息</t>
        </is>
      </c>
      <c r="P40" s="5" t="inlineStr">
        <is>
          <t>还本</t>
        </is>
      </c>
      <c r="Q40" s="5" t="inlineStr">
        <is>
          <t>期末贷款余额</t>
        </is>
      </c>
      <c r="R40" s="5" t="inlineStr">
        <is>
          <t>进项池期初</t>
        </is>
      </c>
      <c r="S40" s="5" t="inlineStr">
        <is>
          <t>实缴增值税</t>
        </is>
      </c>
      <c r="T40" s="5" t="inlineStr">
        <is>
          <t>进项池期末</t>
        </is>
      </c>
      <c r="U40" s="5" t="inlineStr">
        <is>
          <t>增值税留抵增益</t>
        </is>
      </c>
      <c r="V40" s="5" t="inlineStr">
        <is>
          <t>附加税费</t>
        </is>
      </c>
      <c r="W40" s="5" t="inlineStr">
        <is>
          <t>税前利润</t>
        </is>
      </c>
      <c r="X40" s="5" t="inlineStr">
        <is>
          <t>免减系数</t>
        </is>
      </c>
      <c r="Y40" s="5" t="inlineStr">
        <is>
          <t>EBT全投资</t>
        </is>
      </c>
      <c r="Z40" s="5" t="inlineStr">
        <is>
          <t>亏损池A·1年</t>
        </is>
      </c>
      <c r="AA40" s="5" t="inlineStr">
        <is>
          <t>亏损池A·2年</t>
        </is>
      </c>
      <c r="AB40" s="5" t="inlineStr">
        <is>
          <t>亏损池A·3年</t>
        </is>
      </c>
      <c r="AC40" s="5" t="inlineStr">
        <is>
          <t>亏损池A·4年</t>
        </is>
      </c>
      <c r="AD40" s="5" t="inlineStr">
        <is>
          <t>亏损池A·5年</t>
        </is>
      </c>
      <c r="AE40" s="5" t="inlineStr">
        <is>
          <t>亏损池A·当年弥补</t>
        </is>
      </c>
      <c r="AF40" s="5" t="inlineStr">
        <is>
          <t>应税所得·全投资</t>
        </is>
      </c>
      <c r="AG40" s="5" t="inlineStr">
        <is>
          <t>所得税·全投资</t>
        </is>
      </c>
      <c r="AH40" s="5" t="inlineStr">
        <is>
          <t>亏损池E·1年</t>
        </is>
      </c>
      <c r="AI40" s="5" t="inlineStr">
        <is>
          <t>亏损池E·2年</t>
        </is>
      </c>
      <c r="AJ40" s="5" t="inlineStr">
        <is>
          <t>亏损池E·3年</t>
        </is>
      </c>
      <c r="AK40" s="5" t="inlineStr">
        <is>
          <t>亏损池E·4年</t>
        </is>
      </c>
      <c r="AL40" s="5" t="inlineStr">
        <is>
          <t>亏损池E·5年</t>
        </is>
      </c>
      <c r="AM40" s="5" t="inlineStr">
        <is>
          <t>亏损池E·当年弥补</t>
        </is>
      </c>
      <c r="AN40" s="5" t="inlineStr">
        <is>
          <t>应税所得·资本金</t>
        </is>
      </c>
      <c r="AO40" s="5" t="inlineStr">
        <is>
          <t>所得税·资本金</t>
        </is>
      </c>
      <c r="AP40" s="5" t="inlineStr">
        <is>
          <t>期末回收</t>
        </is>
      </c>
      <c r="AQ40" s="5" t="inlineStr">
        <is>
          <t>期末未偿本金扣减</t>
        </is>
      </c>
      <c r="AR40" s="5" t="inlineStr">
        <is>
          <t>税前全投资净现金流</t>
        </is>
      </c>
      <c r="AS40" s="5" t="inlineStr">
        <is>
          <t>税后全投资净现金流</t>
        </is>
      </c>
      <c r="AT40" s="5" t="inlineStr">
        <is>
          <t>资本金净现金流</t>
        </is>
      </c>
      <c r="AU40" s="5" t="inlineStr">
        <is>
          <t>累计税后</t>
        </is>
      </c>
      <c r="AV40" s="5" t="inlineStr">
        <is>
          <t>转正标志</t>
        </is>
      </c>
      <c r="AW40" s="5" t="inlineStr">
        <is>
          <t>LCOE年成本</t>
        </is>
      </c>
      <c r="AX40" s="5" t="inlineStr">
        <is>
          <t>符号跟踪·税前</t>
        </is>
      </c>
      <c r="AY40" s="5" t="inlineStr">
        <is>
          <t>变号计数·税前</t>
        </is>
      </c>
      <c r="AZ40" s="5" t="inlineStr">
        <is>
          <t>符号跟踪·税后</t>
        </is>
      </c>
      <c r="BA40" s="5" t="inlineStr">
        <is>
          <t>变号计数·税后</t>
        </is>
      </c>
      <c r="BB40" s="5" t="inlineStr">
        <is>
          <t>符号跟踪·资本金</t>
        </is>
      </c>
      <c r="BC40" s="5" t="inlineStr">
        <is>
          <t>变号计数·资本金</t>
        </is>
      </c>
    </row>
    <row r="41">
      <c r="A41" s="5" t="n">
        <v>0</v>
      </c>
      <c r="B41" s="5">
        <f>FALSE</f>
        <v/>
      </c>
      <c r="C41" s="5" t="n">
        <v>0</v>
      </c>
      <c r="D41" s="5" t="n">
        <v>0</v>
      </c>
      <c r="E41" s="5" t="n">
        <v>0</v>
      </c>
      <c r="F41" s="5" t="n">
        <v>0</v>
      </c>
      <c r="G41" s="5" t="n">
        <v>0</v>
      </c>
      <c r="H41" s="5" t="n">
        <v>0</v>
      </c>
      <c r="I41" s="5" t="n">
        <v>0</v>
      </c>
      <c r="J41" s="5" t="n">
        <v>0</v>
      </c>
      <c r="K41" s="5" t="n">
        <v>0</v>
      </c>
      <c r="L41" s="5" t="n">
        <v>0</v>
      </c>
      <c r="M41" s="5" t="n">
        <v>0</v>
      </c>
      <c r="N41" s="5" t="n">
        <v>0</v>
      </c>
      <c r="O41" s="5" t="n">
        <v>0</v>
      </c>
      <c r="P41" s="5" t="n">
        <v>0</v>
      </c>
      <c r="Q41" s="5">
        <f>_zmqr32</f>
        <v/>
      </c>
      <c r="R41" s="5" t="n">
        <v>0</v>
      </c>
      <c r="S41" s="5" t="n">
        <v>0</v>
      </c>
      <c r="T41" s="5">
        <f>_zh2s1v</f>
        <v/>
      </c>
      <c r="U41" s="5" t="n">
        <v>0</v>
      </c>
      <c r="V41" s="5" t="n">
        <v>0</v>
      </c>
      <c r="W41" s="5" t="n">
        <v>0</v>
      </c>
      <c r="X41" s="5" t="n">
        <v>0</v>
      </c>
      <c r="Y41" s="5" t="n">
        <v>0</v>
      </c>
      <c r="Z41" s="5" t="n">
        <v>0</v>
      </c>
      <c r="AA41" s="5" t="n">
        <v>0</v>
      </c>
      <c r="AB41" s="5" t="n">
        <v>0</v>
      </c>
      <c r="AC41" s="5" t="n">
        <v>0</v>
      </c>
      <c r="AD41" s="5" t="n">
        <v>0</v>
      </c>
      <c r="AE41" s="5" t="n">
        <v>0</v>
      </c>
      <c r="AF41" s="5" t="n">
        <v>0</v>
      </c>
      <c r="AG41" s="5" t="n">
        <v>0</v>
      </c>
      <c r="AH41" s="5" t="n">
        <v>0</v>
      </c>
      <c r="AI41" s="5" t="n">
        <v>0</v>
      </c>
      <c r="AJ41" s="5" t="n">
        <v>0</v>
      </c>
      <c r="AK41" s="5" t="n">
        <v>0</v>
      </c>
      <c r="AL41" s="5" t="n">
        <v>0</v>
      </c>
      <c r="AM41" s="5" t="n">
        <v>0</v>
      </c>
      <c r="AN41" s="5" t="n">
        <v>0</v>
      </c>
      <c r="AO41" s="5" t="n">
        <v>0</v>
      </c>
      <c r="AP41" s="5" t="n">
        <v>0</v>
      </c>
      <c r="AQ41" s="5" t="n">
        <v>0</v>
      </c>
      <c r="AR41" s="5">
        <f>-_z6ga35</f>
        <v/>
      </c>
      <c r="AS41" s="5">
        <f>-_z6ga35</f>
        <v/>
      </c>
      <c r="AT41" s="5">
        <f>-_zn0hoh</f>
        <v/>
      </c>
      <c r="AU41" s="5">
        <f>AS41</f>
        <v/>
      </c>
      <c r="AV41" s="5" t="n">
        <v>0</v>
      </c>
      <c r="AW41" s="5" t="n">
        <v>0</v>
      </c>
      <c r="AX41" s="5">
        <f>SIGN(AR41)</f>
        <v/>
      </c>
      <c r="AY41" s="5" t="n">
        <v>0</v>
      </c>
      <c r="AZ41" s="5">
        <f>SIGN(AS41)</f>
        <v/>
      </c>
      <c r="BA41" s="5" t="n">
        <v>0</v>
      </c>
      <c r="BB41" s="5">
        <f>SIGN(AT41)</f>
        <v/>
      </c>
      <c r="BC41" s="5" t="n">
        <v>0</v>
      </c>
    </row>
    <row r="42">
      <c r="A42" s="5" t="n">
        <v>1</v>
      </c>
      <c r="B42" s="5">
        <f>AND(A42&gt;=1,A42&lt;=_zx5hja)</f>
        <v/>
      </c>
      <c r="C42" s="5">
        <f>IF(B42,(1-_z4s9pf)^(A42-1),0)</f>
        <v/>
      </c>
      <c r="D42" s="5">
        <f>_z15be9*C42</f>
        <v/>
      </c>
      <c r="E42" s="5">
        <f>D42*_z3oe3u</f>
        <v/>
      </c>
      <c r="F42" s="5">
        <f>D42-E42</f>
        <v/>
      </c>
      <c r="G42" s="5">
        <f>E42*_z1b5au+F42*_zs0ztd</f>
        <v/>
      </c>
      <c r="H42" s="5">
        <f>G42/(1+_zbkm1b)</f>
        <v/>
      </c>
      <c r="I42" s="5">
        <f>G42-H42</f>
        <v/>
      </c>
      <c r="J42" s="5">
        <f>IF(AND(B42,A42=_z9dcjh),_zyev25*100*_zejl2g,0)</f>
        <v/>
      </c>
      <c r="K42" s="5">
        <f>IF(B42,_zyev25*_zbhogy+_z6ga35*_zj6im6+_zyev25*100*_zm3b2j+_z9dtod+J42,0)</f>
        <v/>
      </c>
      <c r="L42" s="5">
        <f>H42-K42</f>
        <v/>
      </c>
      <c r="M42" s="5">
        <f>IF(AND(B42,A42&lt;=_zk7d33),_zxo0o2/_zk7d33,0)</f>
        <v/>
      </c>
      <c r="N42" s="5">
        <f>Q41</f>
        <v/>
      </c>
      <c r="O42" s="5">
        <f>IF(AND(B42,A42&lt;=_z2al7i),N42*_zz5rij,0)</f>
        <v/>
      </c>
      <c r="P42" s="5">
        <f>IF(AND(B42,A42&lt;=_z2al7i),_zgsfrl-O42,0)</f>
        <v/>
      </c>
      <c r="Q42" s="5">
        <f>N42-P42</f>
        <v/>
      </c>
      <c r="R42" s="5">
        <f>T41+J42*_z3dr73</f>
        <v/>
      </c>
      <c r="S42" s="5">
        <f>MAX(0,I42-R42)</f>
        <v/>
      </c>
      <c r="T42" s="5">
        <f>MAX(0,R42-I42)</f>
        <v/>
      </c>
      <c r="U42" s="5">
        <f>I42-S42</f>
        <v/>
      </c>
      <c r="V42" s="5">
        <f>S42*_zs8hzv</f>
        <v/>
      </c>
      <c r="W42" s="5">
        <f>IF(B42,L42-M42-O42-V42,0)</f>
        <v/>
      </c>
      <c r="X42" s="5">
        <f>IF(_z6gsqn="是",IF(A42&lt;=3,0,IF(A42&lt;=6,0.5,1)),1)</f>
        <v/>
      </c>
      <c r="Y42" s="5">
        <f>IF(B42,W42+O42,0)</f>
        <v/>
      </c>
      <c r="Z42" s="5">
        <f>MAX(0,-Y41)</f>
        <v/>
      </c>
      <c r="AA42" s="5">
        <f>MIN(Z41,MAX(0,(AD41+AC41+AB41+AA41+Z41)-AE41))</f>
        <v/>
      </c>
      <c r="AB42" s="5">
        <f>MIN(AA41,MAX(0,(AD41+AC41+AB41+AA41)-AE41))</f>
        <v/>
      </c>
      <c r="AC42" s="5">
        <f>MIN(AB41,MAX(0,(AD41+AC41+AB41)-AE41))</f>
        <v/>
      </c>
      <c r="AD42" s="5">
        <f>MIN(AC41,MAX(0,(AD41+AC41)-AE41))</f>
        <v/>
      </c>
      <c r="AE42" s="5">
        <f>MIN(MAX(Y42,0),Z42+AA42+AB42+AC42+AD42)</f>
        <v/>
      </c>
      <c r="AF42" s="5">
        <f>MAX(Y42,0)-AE42</f>
        <v/>
      </c>
      <c r="AG42" s="5">
        <f>AF42*_z3cyv7*X42</f>
        <v/>
      </c>
      <c r="AH42" s="5">
        <f>MAX(0,-W41)</f>
        <v/>
      </c>
      <c r="AI42" s="5">
        <f>MIN(AH41,MAX(0,(AL41+AK41+AJ41+AI41+AH41)-AM41))</f>
        <v/>
      </c>
      <c r="AJ42" s="5">
        <f>MIN(AI41,MAX(0,(AL41+AK41+AJ41+AI41)-AM41))</f>
        <v/>
      </c>
      <c r="AK42" s="5">
        <f>MIN(AJ41,MAX(0,(AL41+AK41+AJ41)-AM41))</f>
        <v/>
      </c>
      <c r="AL42" s="5">
        <f>MIN(AK41,MAX(0,(AL41+AK41)-AM41))</f>
        <v/>
      </c>
      <c r="AM42" s="5">
        <f>MIN(MAX(W42,0),AH42+AI42+AJ42+AK42+AL42)</f>
        <v/>
      </c>
      <c r="AN42" s="5">
        <f>MAX(W42,0)-AM42</f>
        <v/>
      </c>
      <c r="AO42" s="5">
        <f>AN42*_z3cyv7*X42</f>
        <v/>
      </c>
      <c r="AP42" s="5">
        <f>IF(A42=_zx5hja,_zk1wd3,0)</f>
        <v/>
      </c>
      <c r="AQ42" s="5">
        <f>IF(AND(A42=_zx5hja,_z2al7i&gt;_zx5hja),Q42,0)</f>
        <v/>
      </c>
      <c r="AR42" s="5">
        <f>IF(B42,L42-V42+U42+AP42,0)</f>
        <v/>
      </c>
      <c r="AS42" s="5">
        <f>AR42-AG42</f>
        <v/>
      </c>
      <c r="AT42" s="5">
        <f>IF(B42,W42-AO42+M42-P42+U42+AP42-AQ42,0)</f>
        <v/>
      </c>
      <c r="AU42" s="5">
        <f>AU41+AS42</f>
        <v/>
      </c>
      <c r="AV42" s="5">
        <f>IF(AND(AU41&lt;0,AU42&gt;=0,AS42&gt;0),1,0)</f>
        <v/>
      </c>
      <c r="AW42" s="5">
        <f>K42</f>
        <v/>
      </c>
      <c r="AX42" s="5">
        <f>IF(AR42=0,AX41,SIGN(AR42))</f>
        <v/>
      </c>
      <c r="AY42" s="5">
        <f>AY41+IF(OR(AR42=0,AX41=0),0,IF(SIGN(AR42)&lt;&gt;AX41,1,0))</f>
        <v/>
      </c>
      <c r="AZ42" s="5">
        <f>IF(AS42=0,AZ41,SIGN(AS42))</f>
        <v/>
      </c>
      <c r="BA42" s="5">
        <f>BA41+IF(OR(AS42=0,AZ41=0),0,IF(SIGN(AS42)&lt;&gt;AZ41,1,0))</f>
        <v/>
      </c>
      <c r="BB42" s="5">
        <f>IF(AT42=0,BB41,SIGN(AT42))</f>
        <v/>
      </c>
      <c r="BC42" s="5">
        <f>BC41+IF(OR(AT42=0,BB41=0),0,IF(SIGN(AT42)&lt;&gt;BB41,1,0))</f>
        <v/>
      </c>
    </row>
    <row r="43">
      <c r="A43" s="5" t="n">
        <v>2</v>
      </c>
      <c r="B43" s="5">
        <f>AND(A43&gt;=1,A43&lt;=_zx5hja)</f>
        <v/>
      </c>
      <c r="C43" s="5">
        <f>IF(B43,(1-_z4s9pf)^(A43-1),0)</f>
        <v/>
      </c>
      <c r="D43" s="5">
        <f>_z15be9*C43</f>
        <v/>
      </c>
      <c r="E43" s="5">
        <f>D43*_z3oe3u</f>
        <v/>
      </c>
      <c r="F43" s="5">
        <f>D43-E43</f>
        <v/>
      </c>
      <c r="G43" s="5">
        <f>E43*_z1b5au+F43*_zs0ztd</f>
        <v/>
      </c>
      <c r="H43" s="5">
        <f>G43/(1+_zbkm1b)</f>
        <v/>
      </c>
      <c r="I43" s="5">
        <f>G43-H43</f>
        <v/>
      </c>
      <c r="J43" s="5">
        <f>IF(AND(B43,A43=_z9dcjh),_zyev25*100*_zejl2g,0)</f>
        <v/>
      </c>
      <c r="K43" s="5">
        <f>IF(B43,_zyev25*_zbhogy+_z6ga35*_zj6im6+_zyev25*100*_zm3b2j+_z9dtod+J43,0)</f>
        <v/>
      </c>
      <c r="L43" s="5">
        <f>H43-K43</f>
        <v/>
      </c>
      <c r="M43" s="5">
        <f>IF(AND(B43,A43&lt;=_zk7d33),_zxo0o2/_zk7d33,0)</f>
        <v/>
      </c>
      <c r="N43" s="5">
        <f>Q42</f>
        <v/>
      </c>
      <c r="O43" s="5">
        <f>IF(AND(B43,A43&lt;=_z2al7i),N43*_zz5rij,0)</f>
        <v/>
      </c>
      <c r="P43" s="5">
        <f>IF(AND(B43,A43&lt;=_z2al7i),_zgsfrl-O43,0)</f>
        <v/>
      </c>
      <c r="Q43" s="5">
        <f>N43-P43</f>
        <v/>
      </c>
      <c r="R43" s="5">
        <f>T42+J43*_z3dr73</f>
        <v/>
      </c>
      <c r="S43" s="5">
        <f>MAX(0,I43-R43)</f>
        <v/>
      </c>
      <c r="T43" s="5">
        <f>MAX(0,R43-I43)</f>
        <v/>
      </c>
      <c r="U43" s="5">
        <f>I43-S43</f>
        <v/>
      </c>
      <c r="V43" s="5">
        <f>S43*_zs8hzv</f>
        <v/>
      </c>
      <c r="W43" s="5">
        <f>IF(B43,L43-M43-O43-V43,0)</f>
        <v/>
      </c>
      <c r="X43" s="5">
        <f>IF(_z6gsqn="是",IF(A43&lt;=3,0,IF(A43&lt;=6,0.5,1)),1)</f>
        <v/>
      </c>
      <c r="Y43" s="5">
        <f>IF(B43,W43+O43,0)</f>
        <v/>
      </c>
      <c r="Z43" s="5">
        <f>MAX(0,-Y42)</f>
        <v/>
      </c>
      <c r="AA43" s="5">
        <f>MIN(Z42,MAX(0,(AD42+AC42+AB42+AA42+Z42)-AE42))</f>
        <v/>
      </c>
      <c r="AB43" s="5">
        <f>MIN(AA42,MAX(0,(AD42+AC42+AB42+AA42)-AE42))</f>
        <v/>
      </c>
      <c r="AC43" s="5">
        <f>MIN(AB42,MAX(0,(AD42+AC42+AB42)-AE42))</f>
        <v/>
      </c>
      <c r="AD43" s="5">
        <f>MIN(AC42,MAX(0,(AD42+AC42)-AE42))</f>
        <v/>
      </c>
      <c r="AE43" s="5">
        <f>MIN(MAX(Y43,0),Z43+AA43+AB43+AC43+AD43)</f>
        <v/>
      </c>
      <c r="AF43" s="5">
        <f>MAX(Y43,0)-AE43</f>
        <v/>
      </c>
      <c r="AG43" s="5">
        <f>AF43*_z3cyv7*X43</f>
        <v/>
      </c>
      <c r="AH43" s="5">
        <f>MAX(0,-W42)</f>
        <v/>
      </c>
      <c r="AI43" s="5">
        <f>MIN(AH42,MAX(0,(AL42+AK42+AJ42+AI42+AH42)-AM42))</f>
        <v/>
      </c>
      <c r="AJ43" s="5">
        <f>MIN(AI42,MAX(0,(AL42+AK42+AJ42+AI42)-AM42))</f>
        <v/>
      </c>
      <c r="AK43" s="5">
        <f>MIN(AJ42,MAX(0,(AL42+AK42+AJ42)-AM42))</f>
        <v/>
      </c>
      <c r="AL43" s="5">
        <f>MIN(AK42,MAX(0,(AL42+AK42)-AM42))</f>
        <v/>
      </c>
      <c r="AM43" s="5">
        <f>MIN(MAX(W43,0),AH43+AI43+AJ43+AK43+AL43)</f>
        <v/>
      </c>
      <c r="AN43" s="5">
        <f>MAX(W43,0)-AM43</f>
        <v/>
      </c>
      <c r="AO43" s="5">
        <f>AN43*_z3cyv7*X43</f>
        <v/>
      </c>
      <c r="AP43" s="5">
        <f>IF(A43=_zx5hja,_zk1wd3,0)</f>
        <v/>
      </c>
      <c r="AQ43" s="5">
        <f>IF(AND(A43=_zx5hja,_z2al7i&gt;_zx5hja),Q43,0)</f>
        <v/>
      </c>
      <c r="AR43" s="5">
        <f>IF(B43,L43-V43+U43+AP43,0)</f>
        <v/>
      </c>
      <c r="AS43" s="5">
        <f>AR43-AG43</f>
        <v/>
      </c>
      <c r="AT43" s="5">
        <f>IF(B43,W43-AO43+M43-P43+U43+AP43-AQ43,0)</f>
        <v/>
      </c>
      <c r="AU43" s="5">
        <f>AU42+AS43</f>
        <v/>
      </c>
      <c r="AV43" s="5">
        <f>IF(AND(AU42&lt;0,AU43&gt;=0,AS43&gt;0),1,0)</f>
        <v/>
      </c>
      <c r="AW43" s="5">
        <f>K43</f>
        <v/>
      </c>
      <c r="AX43" s="5">
        <f>IF(AR43=0,AX42,SIGN(AR43))</f>
        <v/>
      </c>
      <c r="AY43" s="5">
        <f>AY42+IF(OR(AR43=0,AX42=0),0,IF(SIGN(AR43)&lt;&gt;AX42,1,0))</f>
        <v/>
      </c>
      <c r="AZ43" s="5">
        <f>IF(AS43=0,AZ42,SIGN(AS43))</f>
        <v/>
      </c>
      <c r="BA43" s="5">
        <f>BA42+IF(OR(AS43=0,AZ42=0),0,IF(SIGN(AS43)&lt;&gt;AZ42,1,0))</f>
        <v/>
      </c>
      <c r="BB43" s="5">
        <f>IF(AT43=0,BB42,SIGN(AT43))</f>
        <v/>
      </c>
      <c r="BC43" s="5">
        <f>BC42+IF(OR(AT43=0,BB42=0),0,IF(SIGN(AT43)&lt;&gt;BB42,1,0))</f>
        <v/>
      </c>
    </row>
    <row r="44">
      <c r="A44" s="5" t="n">
        <v>3</v>
      </c>
      <c r="B44" s="5">
        <f>AND(A44&gt;=1,A44&lt;=_zx5hja)</f>
        <v/>
      </c>
      <c r="C44" s="5">
        <f>IF(B44,(1-_z4s9pf)^(A44-1),0)</f>
        <v/>
      </c>
      <c r="D44" s="5">
        <f>_z15be9*C44</f>
        <v/>
      </c>
      <c r="E44" s="5">
        <f>D44*_z3oe3u</f>
        <v/>
      </c>
      <c r="F44" s="5">
        <f>D44-E44</f>
        <v/>
      </c>
      <c r="G44" s="5">
        <f>E44*_z1b5au+F44*_zs0ztd</f>
        <v/>
      </c>
      <c r="H44" s="5">
        <f>G44/(1+_zbkm1b)</f>
        <v/>
      </c>
      <c r="I44" s="5">
        <f>G44-H44</f>
        <v/>
      </c>
      <c r="J44" s="5">
        <f>IF(AND(B44,A44=_z9dcjh),_zyev25*100*_zejl2g,0)</f>
        <v/>
      </c>
      <c r="K44" s="5">
        <f>IF(B44,_zyev25*_zbhogy+_z6ga35*_zj6im6+_zyev25*100*_zm3b2j+_z9dtod+J44,0)</f>
        <v/>
      </c>
      <c r="L44" s="5">
        <f>H44-K44</f>
        <v/>
      </c>
      <c r="M44" s="5">
        <f>IF(AND(B44,A44&lt;=_zk7d33),_zxo0o2/_zk7d33,0)</f>
        <v/>
      </c>
      <c r="N44" s="5">
        <f>Q43</f>
        <v/>
      </c>
      <c r="O44" s="5">
        <f>IF(AND(B44,A44&lt;=_z2al7i),N44*_zz5rij,0)</f>
        <v/>
      </c>
      <c r="P44" s="5">
        <f>IF(AND(B44,A44&lt;=_z2al7i),_zgsfrl-O44,0)</f>
        <v/>
      </c>
      <c r="Q44" s="5">
        <f>N44-P44</f>
        <v/>
      </c>
      <c r="R44" s="5">
        <f>T43+J44*_z3dr73</f>
        <v/>
      </c>
      <c r="S44" s="5">
        <f>MAX(0,I44-R44)</f>
        <v/>
      </c>
      <c r="T44" s="5">
        <f>MAX(0,R44-I44)</f>
        <v/>
      </c>
      <c r="U44" s="5">
        <f>I44-S44</f>
        <v/>
      </c>
      <c r="V44" s="5">
        <f>S44*_zs8hzv</f>
        <v/>
      </c>
      <c r="W44" s="5">
        <f>IF(B44,L44-M44-O44-V44,0)</f>
        <v/>
      </c>
      <c r="X44" s="5">
        <f>IF(_z6gsqn="是",IF(A44&lt;=3,0,IF(A44&lt;=6,0.5,1)),1)</f>
        <v/>
      </c>
      <c r="Y44" s="5">
        <f>IF(B44,W44+O44,0)</f>
        <v/>
      </c>
      <c r="Z44" s="5">
        <f>MAX(0,-Y43)</f>
        <v/>
      </c>
      <c r="AA44" s="5">
        <f>MIN(Z43,MAX(0,(AD43+AC43+AB43+AA43+Z43)-AE43))</f>
        <v/>
      </c>
      <c r="AB44" s="5">
        <f>MIN(AA43,MAX(0,(AD43+AC43+AB43+AA43)-AE43))</f>
        <v/>
      </c>
      <c r="AC44" s="5">
        <f>MIN(AB43,MAX(0,(AD43+AC43+AB43)-AE43))</f>
        <v/>
      </c>
      <c r="AD44" s="5">
        <f>MIN(AC43,MAX(0,(AD43+AC43)-AE43))</f>
        <v/>
      </c>
      <c r="AE44" s="5">
        <f>MIN(MAX(Y44,0),Z44+AA44+AB44+AC44+AD44)</f>
        <v/>
      </c>
      <c r="AF44" s="5">
        <f>MAX(Y44,0)-AE44</f>
        <v/>
      </c>
      <c r="AG44" s="5">
        <f>AF44*_z3cyv7*X44</f>
        <v/>
      </c>
      <c r="AH44" s="5">
        <f>MAX(0,-W43)</f>
        <v/>
      </c>
      <c r="AI44" s="5">
        <f>MIN(AH43,MAX(0,(AL43+AK43+AJ43+AI43+AH43)-AM43))</f>
        <v/>
      </c>
      <c r="AJ44" s="5">
        <f>MIN(AI43,MAX(0,(AL43+AK43+AJ43+AI43)-AM43))</f>
        <v/>
      </c>
      <c r="AK44" s="5">
        <f>MIN(AJ43,MAX(0,(AL43+AK43+AJ43)-AM43))</f>
        <v/>
      </c>
      <c r="AL44" s="5">
        <f>MIN(AK43,MAX(0,(AL43+AK43)-AM43))</f>
        <v/>
      </c>
      <c r="AM44" s="5">
        <f>MIN(MAX(W44,0),AH44+AI44+AJ44+AK44+AL44)</f>
        <v/>
      </c>
      <c r="AN44" s="5">
        <f>MAX(W44,0)-AM44</f>
        <v/>
      </c>
      <c r="AO44" s="5">
        <f>AN44*_z3cyv7*X44</f>
        <v/>
      </c>
      <c r="AP44" s="5">
        <f>IF(A44=_zx5hja,_zk1wd3,0)</f>
        <v/>
      </c>
      <c r="AQ44" s="5">
        <f>IF(AND(A44=_zx5hja,_z2al7i&gt;_zx5hja),Q44,0)</f>
        <v/>
      </c>
      <c r="AR44" s="5">
        <f>IF(B44,L44-V44+U44+AP44,0)</f>
        <v/>
      </c>
      <c r="AS44" s="5">
        <f>AR44-AG44</f>
        <v/>
      </c>
      <c r="AT44" s="5">
        <f>IF(B44,W44-AO44+M44-P44+U44+AP44-AQ44,0)</f>
        <v/>
      </c>
      <c r="AU44" s="5">
        <f>AU43+AS44</f>
        <v/>
      </c>
      <c r="AV44" s="5">
        <f>IF(AND(AU43&lt;0,AU44&gt;=0,AS44&gt;0),1,0)</f>
        <v/>
      </c>
      <c r="AW44" s="5">
        <f>K44</f>
        <v/>
      </c>
      <c r="AX44" s="5">
        <f>IF(AR44=0,AX43,SIGN(AR44))</f>
        <v/>
      </c>
      <c r="AY44" s="5">
        <f>AY43+IF(OR(AR44=0,AX43=0),0,IF(SIGN(AR44)&lt;&gt;AX43,1,0))</f>
        <v/>
      </c>
      <c r="AZ44" s="5">
        <f>IF(AS44=0,AZ43,SIGN(AS44))</f>
        <v/>
      </c>
      <c r="BA44" s="5">
        <f>BA43+IF(OR(AS44=0,AZ43=0),0,IF(SIGN(AS44)&lt;&gt;AZ43,1,0))</f>
        <v/>
      </c>
      <c r="BB44" s="5">
        <f>IF(AT44=0,BB43,SIGN(AT44))</f>
        <v/>
      </c>
      <c r="BC44" s="5">
        <f>BC43+IF(OR(AT44=0,BB43=0),0,IF(SIGN(AT44)&lt;&gt;BB43,1,0))</f>
        <v/>
      </c>
    </row>
    <row r="45">
      <c r="A45" s="5" t="n">
        <v>4</v>
      </c>
      <c r="B45" s="5">
        <f>AND(A45&gt;=1,A45&lt;=_zx5hja)</f>
        <v/>
      </c>
      <c r="C45" s="5">
        <f>IF(B45,(1-_z4s9pf)^(A45-1),0)</f>
        <v/>
      </c>
      <c r="D45" s="5">
        <f>_z15be9*C45</f>
        <v/>
      </c>
      <c r="E45" s="5">
        <f>D45*_z3oe3u</f>
        <v/>
      </c>
      <c r="F45" s="5">
        <f>D45-E45</f>
        <v/>
      </c>
      <c r="G45" s="5">
        <f>E45*_z1b5au+F45*_zs0ztd</f>
        <v/>
      </c>
      <c r="H45" s="5">
        <f>G45/(1+_zbkm1b)</f>
        <v/>
      </c>
      <c r="I45" s="5">
        <f>G45-H45</f>
        <v/>
      </c>
      <c r="J45" s="5">
        <f>IF(AND(B45,A45=_z9dcjh),_zyev25*100*_zejl2g,0)</f>
        <v/>
      </c>
      <c r="K45" s="5">
        <f>IF(B45,_zyev25*_zbhogy+_z6ga35*_zj6im6+_zyev25*100*_zm3b2j+_z9dtod+J45,0)</f>
        <v/>
      </c>
      <c r="L45" s="5">
        <f>H45-K45</f>
        <v/>
      </c>
      <c r="M45" s="5">
        <f>IF(AND(B45,A45&lt;=_zk7d33),_zxo0o2/_zk7d33,0)</f>
        <v/>
      </c>
      <c r="N45" s="5">
        <f>Q44</f>
        <v/>
      </c>
      <c r="O45" s="5">
        <f>IF(AND(B45,A45&lt;=_z2al7i),N45*_zz5rij,0)</f>
        <v/>
      </c>
      <c r="P45" s="5">
        <f>IF(AND(B45,A45&lt;=_z2al7i),_zgsfrl-O45,0)</f>
        <v/>
      </c>
      <c r="Q45" s="5">
        <f>N45-P45</f>
        <v/>
      </c>
      <c r="R45" s="5">
        <f>T44+J45*_z3dr73</f>
        <v/>
      </c>
      <c r="S45" s="5">
        <f>MAX(0,I45-R45)</f>
        <v/>
      </c>
      <c r="T45" s="5">
        <f>MAX(0,R45-I45)</f>
        <v/>
      </c>
      <c r="U45" s="5">
        <f>I45-S45</f>
        <v/>
      </c>
      <c r="V45" s="5">
        <f>S45*_zs8hzv</f>
        <v/>
      </c>
      <c r="W45" s="5">
        <f>IF(B45,L45-M45-O45-V45,0)</f>
        <v/>
      </c>
      <c r="X45" s="5">
        <f>IF(_z6gsqn="是",IF(A45&lt;=3,0,IF(A45&lt;=6,0.5,1)),1)</f>
        <v/>
      </c>
      <c r="Y45" s="5">
        <f>IF(B45,W45+O45,0)</f>
        <v/>
      </c>
      <c r="Z45" s="5">
        <f>MAX(0,-Y44)</f>
        <v/>
      </c>
      <c r="AA45" s="5">
        <f>MIN(Z44,MAX(0,(AD44+AC44+AB44+AA44+Z44)-AE44))</f>
        <v/>
      </c>
      <c r="AB45" s="5">
        <f>MIN(AA44,MAX(0,(AD44+AC44+AB44+AA44)-AE44))</f>
        <v/>
      </c>
      <c r="AC45" s="5">
        <f>MIN(AB44,MAX(0,(AD44+AC44+AB44)-AE44))</f>
        <v/>
      </c>
      <c r="AD45" s="5">
        <f>MIN(AC44,MAX(0,(AD44+AC44)-AE44))</f>
        <v/>
      </c>
      <c r="AE45" s="5">
        <f>MIN(MAX(Y45,0),Z45+AA45+AB45+AC45+AD45)</f>
        <v/>
      </c>
      <c r="AF45" s="5">
        <f>MAX(Y45,0)-AE45</f>
        <v/>
      </c>
      <c r="AG45" s="5">
        <f>AF45*_z3cyv7*X45</f>
        <v/>
      </c>
      <c r="AH45" s="5">
        <f>MAX(0,-W44)</f>
        <v/>
      </c>
      <c r="AI45" s="5">
        <f>MIN(AH44,MAX(0,(AL44+AK44+AJ44+AI44+AH44)-AM44))</f>
        <v/>
      </c>
      <c r="AJ45" s="5">
        <f>MIN(AI44,MAX(0,(AL44+AK44+AJ44+AI44)-AM44))</f>
        <v/>
      </c>
      <c r="AK45" s="5">
        <f>MIN(AJ44,MAX(0,(AL44+AK44+AJ44)-AM44))</f>
        <v/>
      </c>
      <c r="AL45" s="5">
        <f>MIN(AK44,MAX(0,(AL44+AK44)-AM44))</f>
        <v/>
      </c>
      <c r="AM45" s="5">
        <f>MIN(MAX(W45,0),AH45+AI45+AJ45+AK45+AL45)</f>
        <v/>
      </c>
      <c r="AN45" s="5">
        <f>MAX(W45,0)-AM45</f>
        <v/>
      </c>
      <c r="AO45" s="5">
        <f>AN45*_z3cyv7*X45</f>
        <v/>
      </c>
      <c r="AP45" s="5">
        <f>IF(A45=_zx5hja,_zk1wd3,0)</f>
        <v/>
      </c>
      <c r="AQ45" s="5">
        <f>IF(AND(A45=_zx5hja,_z2al7i&gt;_zx5hja),Q45,0)</f>
        <v/>
      </c>
      <c r="AR45" s="5">
        <f>IF(B45,L45-V45+U45+AP45,0)</f>
        <v/>
      </c>
      <c r="AS45" s="5">
        <f>AR45-AG45</f>
        <v/>
      </c>
      <c r="AT45" s="5">
        <f>IF(B45,W45-AO45+M45-P45+U45+AP45-AQ45,0)</f>
        <v/>
      </c>
      <c r="AU45" s="5">
        <f>AU44+AS45</f>
        <v/>
      </c>
      <c r="AV45" s="5">
        <f>IF(AND(AU44&lt;0,AU45&gt;=0,AS45&gt;0),1,0)</f>
        <v/>
      </c>
      <c r="AW45" s="5">
        <f>K45</f>
        <v/>
      </c>
      <c r="AX45" s="5">
        <f>IF(AR45=0,AX44,SIGN(AR45))</f>
        <v/>
      </c>
      <c r="AY45" s="5">
        <f>AY44+IF(OR(AR45=0,AX44=0),0,IF(SIGN(AR45)&lt;&gt;AX44,1,0))</f>
        <v/>
      </c>
      <c r="AZ45" s="5">
        <f>IF(AS45=0,AZ44,SIGN(AS45))</f>
        <v/>
      </c>
      <c r="BA45" s="5">
        <f>BA44+IF(OR(AS45=0,AZ44=0),0,IF(SIGN(AS45)&lt;&gt;AZ44,1,0))</f>
        <v/>
      </c>
      <c r="BB45" s="5">
        <f>IF(AT45=0,BB44,SIGN(AT45))</f>
        <v/>
      </c>
      <c r="BC45" s="5">
        <f>BC44+IF(OR(AT45=0,BB44=0),0,IF(SIGN(AT45)&lt;&gt;BB44,1,0))</f>
        <v/>
      </c>
    </row>
    <row r="46">
      <c r="A46" s="5" t="n">
        <v>5</v>
      </c>
      <c r="B46" s="5">
        <f>AND(A46&gt;=1,A46&lt;=_zx5hja)</f>
        <v/>
      </c>
      <c r="C46" s="5">
        <f>IF(B46,(1-_z4s9pf)^(A46-1),0)</f>
        <v/>
      </c>
      <c r="D46" s="5">
        <f>_z15be9*C46</f>
        <v/>
      </c>
      <c r="E46" s="5">
        <f>D46*_z3oe3u</f>
        <v/>
      </c>
      <c r="F46" s="5">
        <f>D46-E46</f>
        <v/>
      </c>
      <c r="G46" s="5">
        <f>E46*_z1b5au+F46*_zs0ztd</f>
        <v/>
      </c>
      <c r="H46" s="5">
        <f>G46/(1+_zbkm1b)</f>
        <v/>
      </c>
      <c r="I46" s="5">
        <f>G46-H46</f>
        <v/>
      </c>
      <c r="J46" s="5">
        <f>IF(AND(B46,A46=_z9dcjh),_zyev25*100*_zejl2g,0)</f>
        <v/>
      </c>
      <c r="K46" s="5">
        <f>IF(B46,_zyev25*_zbhogy+_z6ga35*_zj6im6+_zyev25*100*_zm3b2j+_z9dtod+J46,0)</f>
        <v/>
      </c>
      <c r="L46" s="5">
        <f>H46-K46</f>
        <v/>
      </c>
      <c r="M46" s="5">
        <f>IF(AND(B46,A46&lt;=_zk7d33),_zxo0o2/_zk7d33,0)</f>
        <v/>
      </c>
      <c r="N46" s="5">
        <f>Q45</f>
        <v/>
      </c>
      <c r="O46" s="5">
        <f>IF(AND(B46,A46&lt;=_z2al7i),N46*_zz5rij,0)</f>
        <v/>
      </c>
      <c r="P46" s="5">
        <f>IF(AND(B46,A46&lt;=_z2al7i),_zgsfrl-O46,0)</f>
        <v/>
      </c>
      <c r="Q46" s="5">
        <f>N46-P46</f>
        <v/>
      </c>
      <c r="R46" s="5">
        <f>T45+J46*_z3dr73</f>
        <v/>
      </c>
      <c r="S46" s="5">
        <f>MAX(0,I46-R46)</f>
        <v/>
      </c>
      <c r="T46" s="5">
        <f>MAX(0,R46-I46)</f>
        <v/>
      </c>
      <c r="U46" s="5">
        <f>I46-S46</f>
        <v/>
      </c>
      <c r="V46" s="5">
        <f>S46*_zs8hzv</f>
        <v/>
      </c>
      <c r="W46" s="5">
        <f>IF(B46,L46-M46-O46-V46,0)</f>
        <v/>
      </c>
      <c r="X46" s="5">
        <f>IF(_z6gsqn="是",IF(A46&lt;=3,0,IF(A46&lt;=6,0.5,1)),1)</f>
        <v/>
      </c>
      <c r="Y46" s="5">
        <f>IF(B46,W46+O46,0)</f>
        <v/>
      </c>
      <c r="Z46" s="5">
        <f>MAX(0,-Y45)</f>
        <v/>
      </c>
      <c r="AA46" s="5">
        <f>MIN(Z45,MAX(0,(AD45+AC45+AB45+AA45+Z45)-AE45))</f>
        <v/>
      </c>
      <c r="AB46" s="5">
        <f>MIN(AA45,MAX(0,(AD45+AC45+AB45+AA45)-AE45))</f>
        <v/>
      </c>
      <c r="AC46" s="5">
        <f>MIN(AB45,MAX(0,(AD45+AC45+AB45)-AE45))</f>
        <v/>
      </c>
      <c r="AD46" s="5">
        <f>MIN(AC45,MAX(0,(AD45+AC45)-AE45))</f>
        <v/>
      </c>
      <c r="AE46" s="5">
        <f>MIN(MAX(Y46,0),Z46+AA46+AB46+AC46+AD46)</f>
        <v/>
      </c>
      <c r="AF46" s="5">
        <f>MAX(Y46,0)-AE46</f>
        <v/>
      </c>
      <c r="AG46" s="5">
        <f>AF46*_z3cyv7*X46</f>
        <v/>
      </c>
      <c r="AH46" s="5">
        <f>MAX(0,-W45)</f>
        <v/>
      </c>
      <c r="AI46" s="5">
        <f>MIN(AH45,MAX(0,(AL45+AK45+AJ45+AI45+AH45)-AM45))</f>
        <v/>
      </c>
      <c r="AJ46" s="5">
        <f>MIN(AI45,MAX(0,(AL45+AK45+AJ45+AI45)-AM45))</f>
        <v/>
      </c>
      <c r="AK46" s="5">
        <f>MIN(AJ45,MAX(0,(AL45+AK45+AJ45)-AM45))</f>
        <v/>
      </c>
      <c r="AL46" s="5">
        <f>MIN(AK45,MAX(0,(AL45+AK45)-AM45))</f>
        <v/>
      </c>
      <c r="AM46" s="5">
        <f>MIN(MAX(W46,0),AH46+AI46+AJ46+AK46+AL46)</f>
        <v/>
      </c>
      <c r="AN46" s="5">
        <f>MAX(W46,0)-AM46</f>
        <v/>
      </c>
      <c r="AO46" s="5">
        <f>AN46*_z3cyv7*X46</f>
        <v/>
      </c>
      <c r="AP46" s="5">
        <f>IF(A46=_zx5hja,_zk1wd3,0)</f>
        <v/>
      </c>
      <c r="AQ46" s="5">
        <f>IF(AND(A46=_zx5hja,_z2al7i&gt;_zx5hja),Q46,0)</f>
        <v/>
      </c>
      <c r="AR46" s="5">
        <f>IF(B46,L46-V46+U46+AP46,0)</f>
        <v/>
      </c>
      <c r="AS46" s="5">
        <f>AR46-AG46</f>
        <v/>
      </c>
      <c r="AT46" s="5">
        <f>IF(B46,W46-AO46+M46-P46+U46+AP46-AQ46,0)</f>
        <v/>
      </c>
      <c r="AU46" s="5">
        <f>AU45+AS46</f>
        <v/>
      </c>
      <c r="AV46" s="5">
        <f>IF(AND(AU45&lt;0,AU46&gt;=0,AS46&gt;0),1,0)</f>
        <v/>
      </c>
      <c r="AW46" s="5">
        <f>K46</f>
        <v/>
      </c>
      <c r="AX46" s="5">
        <f>IF(AR46=0,AX45,SIGN(AR46))</f>
        <v/>
      </c>
      <c r="AY46" s="5">
        <f>AY45+IF(OR(AR46=0,AX45=0),0,IF(SIGN(AR46)&lt;&gt;AX45,1,0))</f>
        <v/>
      </c>
      <c r="AZ46" s="5">
        <f>IF(AS46=0,AZ45,SIGN(AS46))</f>
        <v/>
      </c>
      <c r="BA46" s="5">
        <f>BA45+IF(OR(AS46=0,AZ45=0),0,IF(SIGN(AS46)&lt;&gt;AZ45,1,0))</f>
        <v/>
      </c>
      <c r="BB46" s="5">
        <f>IF(AT46=0,BB45,SIGN(AT46))</f>
        <v/>
      </c>
      <c r="BC46" s="5">
        <f>BC45+IF(OR(AT46=0,BB45=0),0,IF(SIGN(AT46)&lt;&gt;BB45,1,0))</f>
        <v/>
      </c>
    </row>
    <row r="47">
      <c r="A47" s="5" t="n">
        <v>6</v>
      </c>
      <c r="B47" s="5">
        <f>AND(A47&gt;=1,A47&lt;=_zx5hja)</f>
        <v/>
      </c>
      <c r="C47" s="5">
        <f>IF(B47,(1-_z4s9pf)^(A47-1),0)</f>
        <v/>
      </c>
      <c r="D47" s="5">
        <f>_z15be9*C47</f>
        <v/>
      </c>
      <c r="E47" s="5">
        <f>D47*_z3oe3u</f>
        <v/>
      </c>
      <c r="F47" s="5">
        <f>D47-E47</f>
        <v/>
      </c>
      <c r="G47" s="5">
        <f>E47*_z1b5au+F47*_zs0ztd</f>
        <v/>
      </c>
      <c r="H47" s="5">
        <f>G47/(1+_zbkm1b)</f>
        <v/>
      </c>
      <c r="I47" s="5">
        <f>G47-H47</f>
        <v/>
      </c>
      <c r="J47" s="5">
        <f>IF(AND(B47,A47=_z9dcjh),_zyev25*100*_zejl2g,0)</f>
        <v/>
      </c>
      <c r="K47" s="5">
        <f>IF(B47,_zyev25*_zbhogy+_z6ga35*_zj6im6+_zyev25*100*_zm3b2j+_z9dtod+J47,0)</f>
        <v/>
      </c>
      <c r="L47" s="5">
        <f>H47-K47</f>
        <v/>
      </c>
      <c r="M47" s="5">
        <f>IF(AND(B47,A47&lt;=_zk7d33),_zxo0o2/_zk7d33,0)</f>
        <v/>
      </c>
      <c r="N47" s="5">
        <f>Q46</f>
        <v/>
      </c>
      <c r="O47" s="5">
        <f>IF(AND(B47,A47&lt;=_z2al7i),N47*_zz5rij,0)</f>
        <v/>
      </c>
      <c r="P47" s="5">
        <f>IF(AND(B47,A47&lt;=_z2al7i),_zgsfrl-O47,0)</f>
        <v/>
      </c>
      <c r="Q47" s="5">
        <f>N47-P47</f>
        <v/>
      </c>
      <c r="R47" s="5">
        <f>T46+J47*_z3dr73</f>
        <v/>
      </c>
      <c r="S47" s="5">
        <f>MAX(0,I47-R47)</f>
        <v/>
      </c>
      <c r="T47" s="5">
        <f>MAX(0,R47-I47)</f>
        <v/>
      </c>
      <c r="U47" s="5">
        <f>I47-S47</f>
        <v/>
      </c>
      <c r="V47" s="5">
        <f>S47*_zs8hzv</f>
        <v/>
      </c>
      <c r="W47" s="5">
        <f>IF(B47,L47-M47-O47-V47,0)</f>
        <v/>
      </c>
      <c r="X47" s="5">
        <f>IF(_z6gsqn="是",IF(A47&lt;=3,0,IF(A47&lt;=6,0.5,1)),1)</f>
        <v/>
      </c>
      <c r="Y47" s="5">
        <f>IF(B47,W47+O47,0)</f>
        <v/>
      </c>
      <c r="Z47" s="5">
        <f>MAX(0,-Y46)</f>
        <v/>
      </c>
      <c r="AA47" s="5">
        <f>MIN(Z46,MAX(0,(AD46+AC46+AB46+AA46+Z46)-AE46))</f>
        <v/>
      </c>
      <c r="AB47" s="5">
        <f>MIN(AA46,MAX(0,(AD46+AC46+AB46+AA46)-AE46))</f>
        <v/>
      </c>
      <c r="AC47" s="5">
        <f>MIN(AB46,MAX(0,(AD46+AC46+AB46)-AE46))</f>
        <v/>
      </c>
      <c r="AD47" s="5">
        <f>MIN(AC46,MAX(0,(AD46+AC46)-AE46))</f>
        <v/>
      </c>
      <c r="AE47" s="5">
        <f>MIN(MAX(Y47,0),Z47+AA47+AB47+AC47+AD47)</f>
        <v/>
      </c>
      <c r="AF47" s="5">
        <f>MAX(Y47,0)-AE47</f>
        <v/>
      </c>
      <c r="AG47" s="5">
        <f>AF47*_z3cyv7*X47</f>
        <v/>
      </c>
      <c r="AH47" s="5">
        <f>MAX(0,-W46)</f>
        <v/>
      </c>
      <c r="AI47" s="5">
        <f>MIN(AH46,MAX(0,(AL46+AK46+AJ46+AI46+AH46)-AM46))</f>
        <v/>
      </c>
      <c r="AJ47" s="5">
        <f>MIN(AI46,MAX(0,(AL46+AK46+AJ46+AI46)-AM46))</f>
        <v/>
      </c>
      <c r="AK47" s="5">
        <f>MIN(AJ46,MAX(0,(AL46+AK46+AJ46)-AM46))</f>
        <v/>
      </c>
      <c r="AL47" s="5">
        <f>MIN(AK46,MAX(0,(AL46+AK46)-AM46))</f>
        <v/>
      </c>
      <c r="AM47" s="5">
        <f>MIN(MAX(W47,0),AH47+AI47+AJ47+AK47+AL47)</f>
        <v/>
      </c>
      <c r="AN47" s="5">
        <f>MAX(W47,0)-AM47</f>
        <v/>
      </c>
      <c r="AO47" s="5">
        <f>AN47*_z3cyv7*X47</f>
        <v/>
      </c>
      <c r="AP47" s="5">
        <f>IF(A47=_zx5hja,_zk1wd3,0)</f>
        <v/>
      </c>
      <c r="AQ47" s="5">
        <f>IF(AND(A47=_zx5hja,_z2al7i&gt;_zx5hja),Q47,0)</f>
        <v/>
      </c>
      <c r="AR47" s="5">
        <f>IF(B47,L47-V47+U47+AP47,0)</f>
        <v/>
      </c>
      <c r="AS47" s="5">
        <f>AR47-AG47</f>
        <v/>
      </c>
      <c r="AT47" s="5">
        <f>IF(B47,W47-AO47+M47-P47+U47+AP47-AQ47,0)</f>
        <v/>
      </c>
      <c r="AU47" s="5">
        <f>AU46+AS47</f>
        <v/>
      </c>
      <c r="AV47" s="5">
        <f>IF(AND(AU46&lt;0,AU47&gt;=0,AS47&gt;0),1,0)</f>
        <v/>
      </c>
      <c r="AW47" s="5">
        <f>K47</f>
        <v/>
      </c>
      <c r="AX47" s="5">
        <f>IF(AR47=0,AX46,SIGN(AR47))</f>
        <v/>
      </c>
      <c r="AY47" s="5">
        <f>AY46+IF(OR(AR47=0,AX46=0),0,IF(SIGN(AR47)&lt;&gt;AX46,1,0))</f>
        <v/>
      </c>
      <c r="AZ47" s="5">
        <f>IF(AS47=0,AZ46,SIGN(AS47))</f>
        <v/>
      </c>
      <c r="BA47" s="5">
        <f>BA46+IF(OR(AS47=0,AZ46=0),0,IF(SIGN(AS47)&lt;&gt;AZ46,1,0))</f>
        <v/>
      </c>
      <c r="BB47" s="5">
        <f>IF(AT47=0,BB46,SIGN(AT47))</f>
        <v/>
      </c>
      <c r="BC47" s="5">
        <f>BC46+IF(OR(AT47=0,BB46=0),0,IF(SIGN(AT47)&lt;&gt;BB46,1,0))</f>
        <v/>
      </c>
    </row>
    <row r="48">
      <c r="A48" s="5" t="n">
        <v>7</v>
      </c>
      <c r="B48" s="5">
        <f>AND(A48&gt;=1,A48&lt;=_zx5hja)</f>
        <v/>
      </c>
      <c r="C48" s="5">
        <f>IF(B48,(1-_z4s9pf)^(A48-1),0)</f>
        <v/>
      </c>
      <c r="D48" s="5">
        <f>_z15be9*C48</f>
        <v/>
      </c>
      <c r="E48" s="5">
        <f>D48*_z3oe3u</f>
        <v/>
      </c>
      <c r="F48" s="5">
        <f>D48-E48</f>
        <v/>
      </c>
      <c r="G48" s="5">
        <f>E48*_z1b5au+F48*_zs0ztd</f>
        <v/>
      </c>
      <c r="H48" s="5">
        <f>G48/(1+_zbkm1b)</f>
        <v/>
      </c>
      <c r="I48" s="5">
        <f>G48-H48</f>
        <v/>
      </c>
      <c r="J48" s="5">
        <f>IF(AND(B48,A48=_z9dcjh),_zyev25*100*_zejl2g,0)</f>
        <v/>
      </c>
      <c r="K48" s="5">
        <f>IF(B48,_zyev25*_zbhogy+_z6ga35*_zj6im6+_zyev25*100*_zm3b2j+_z9dtod+J48,0)</f>
        <v/>
      </c>
      <c r="L48" s="5">
        <f>H48-K48</f>
        <v/>
      </c>
      <c r="M48" s="5">
        <f>IF(AND(B48,A48&lt;=_zk7d33),_zxo0o2/_zk7d33,0)</f>
        <v/>
      </c>
      <c r="N48" s="5">
        <f>Q47</f>
        <v/>
      </c>
      <c r="O48" s="5">
        <f>IF(AND(B48,A48&lt;=_z2al7i),N48*_zz5rij,0)</f>
        <v/>
      </c>
      <c r="P48" s="5">
        <f>IF(AND(B48,A48&lt;=_z2al7i),_zgsfrl-O48,0)</f>
        <v/>
      </c>
      <c r="Q48" s="5">
        <f>N48-P48</f>
        <v/>
      </c>
      <c r="R48" s="5">
        <f>T47+J48*_z3dr73</f>
        <v/>
      </c>
      <c r="S48" s="5">
        <f>MAX(0,I48-R48)</f>
        <v/>
      </c>
      <c r="T48" s="5">
        <f>MAX(0,R48-I48)</f>
        <v/>
      </c>
      <c r="U48" s="5">
        <f>I48-S48</f>
        <v/>
      </c>
      <c r="V48" s="5">
        <f>S48*_zs8hzv</f>
        <v/>
      </c>
      <c r="W48" s="5">
        <f>IF(B48,L48-M48-O48-V48,0)</f>
        <v/>
      </c>
      <c r="X48" s="5">
        <f>IF(_z6gsqn="是",IF(A48&lt;=3,0,IF(A48&lt;=6,0.5,1)),1)</f>
        <v/>
      </c>
      <c r="Y48" s="5">
        <f>IF(B48,W48+O48,0)</f>
        <v/>
      </c>
      <c r="Z48" s="5">
        <f>MAX(0,-Y47)</f>
        <v/>
      </c>
      <c r="AA48" s="5">
        <f>MIN(Z47,MAX(0,(AD47+AC47+AB47+AA47+Z47)-AE47))</f>
        <v/>
      </c>
      <c r="AB48" s="5">
        <f>MIN(AA47,MAX(0,(AD47+AC47+AB47+AA47)-AE47))</f>
        <v/>
      </c>
      <c r="AC48" s="5">
        <f>MIN(AB47,MAX(0,(AD47+AC47+AB47)-AE47))</f>
        <v/>
      </c>
      <c r="AD48" s="5">
        <f>MIN(AC47,MAX(0,(AD47+AC47)-AE47))</f>
        <v/>
      </c>
      <c r="AE48" s="5">
        <f>MIN(MAX(Y48,0),Z48+AA48+AB48+AC48+AD48)</f>
        <v/>
      </c>
      <c r="AF48" s="5">
        <f>MAX(Y48,0)-AE48</f>
        <v/>
      </c>
      <c r="AG48" s="5">
        <f>AF48*_z3cyv7*X48</f>
        <v/>
      </c>
      <c r="AH48" s="5">
        <f>MAX(0,-W47)</f>
        <v/>
      </c>
      <c r="AI48" s="5">
        <f>MIN(AH47,MAX(0,(AL47+AK47+AJ47+AI47+AH47)-AM47))</f>
        <v/>
      </c>
      <c r="AJ48" s="5">
        <f>MIN(AI47,MAX(0,(AL47+AK47+AJ47+AI47)-AM47))</f>
        <v/>
      </c>
      <c r="AK48" s="5">
        <f>MIN(AJ47,MAX(0,(AL47+AK47+AJ47)-AM47))</f>
        <v/>
      </c>
      <c r="AL48" s="5">
        <f>MIN(AK47,MAX(0,(AL47+AK47)-AM47))</f>
        <v/>
      </c>
      <c r="AM48" s="5">
        <f>MIN(MAX(W48,0),AH48+AI48+AJ48+AK48+AL48)</f>
        <v/>
      </c>
      <c r="AN48" s="5">
        <f>MAX(W48,0)-AM48</f>
        <v/>
      </c>
      <c r="AO48" s="5">
        <f>AN48*_z3cyv7*X48</f>
        <v/>
      </c>
      <c r="AP48" s="5">
        <f>IF(A48=_zx5hja,_zk1wd3,0)</f>
        <v/>
      </c>
      <c r="AQ48" s="5">
        <f>IF(AND(A48=_zx5hja,_z2al7i&gt;_zx5hja),Q48,0)</f>
        <v/>
      </c>
      <c r="AR48" s="5">
        <f>IF(B48,L48-V48+U48+AP48,0)</f>
        <v/>
      </c>
      <c r="AS48" s="5">
        <f>AR48-AG48</f>
        <v/>
      </c>
      <c r="AT48" s="5">
        <f>IF(B48,W48-AO48+M48-P48+U48+AP48-AQ48,0)</f>
        <v/>
      </c>
      <c r="AU48" s="5">
        <f>AU47+AS48</f>
        <v/>
      </c>
      <c r="AV48" s="5">
        <f>IF(AND(AU47&lt;0,AU48&gt;=0,AS48&gt;0),1,0)</f>
        <v/>
      </c>
      <c r="AW48" s="5">
        <f>K48</f>
        <v/>
      </c>
      <c r="AX48" s="5">
        <f>IF(AR48=0,AX47,SIGN(AR48))</f>
        <v/>
      </c>
      <c r="AY48" s="5">
        <f>AY47+IF(OR(AR48=0,AX47=0),0,IF(SIGN(AR48)&lt;&gt;AX47,1,0))</f>
        <v/>
      </c>
      <c r="AZ48" s="5">
        <f>IF(AS48=0,AZ47,SIGN(AS48))</f>
        <v/>
      </c>
      <c r="BA48" s="5">
        <f>BA47+IF(OR(AS48=0,AZ47=0),0,IF(SIGN(AS48)&lt;&gt;AZ47,1,0))</f>
        <v/>
      </c>
      <c r="BB48" s="5">
        <f>IF(AT48=0,BB47,SIGN(AT48))</f>
        <v/>
      </c>
      <c r="BC48" s="5">
        <f>BC47+IF(OR(AT48=0,BB47=0),0,IF(SIGN(AT48)&lt;&gt;BB47,1,0))</f>
        <v/>
      </c>
    </row>
    <row r="49">
      <c r="A49" s="5" t="n">
        <v>8</v>
      </c>
      <c r="B49" s="5">
        <f>AND(A49&gt;=1,A49&lt;=_zx5hja)</f>
        <v/>
      </c>
      <c r="C49" s="5">
        <f>IF(B49,(1-_z4s9pf)^(A49-1),0)</f>
        <v/>
      </c>
      <c r="D49" s="5">
        <f>_z15be9*C49</f>
        <v/>
      </c>
      <c r="E49" s="5">
        <f>D49*_z3oe3u</f>
        <v/>
      </c>
      <c r="F49" s="5">
        <f>D49-E49</f>
        <v/>
      </c>
      <c r="G49" s="5">
        <f>E49*_z1b5au+F49*_zs0ztd</f>
        <v/>
      </c>
      <c r="H49" s="5">
        <f>G49/(1+_zbkm1b)</f>
        <v/>
      </c>
      <c r="I49" s="5">
        <f>G49-H49</f>
        <v/>
      </c>
      <c r="J49" s="5">
        <f>IF(AND(B49,A49=_z9dcjh),_zyev25*100*_zejl2g,0)</f>
        <v/>
      </c>
      <c r="K49" s="5">
        <f>IF(B49,_zyev25*_zbhogy+_z6ga35*_zj6im6+_zyev25*100*_zm3b2j+_z9dtod+J49,0)</f>
        <v/>
      </c>
      <c r="L49" s="5">
        <f>H49-K49</f>
        <v/>
      </c>
      <c r="M49" s="5">
        <f>IF(AND(B49,A49&lt;=_zk7d33),_zxo0o2/_zk7d33,0)</f>
        <v/>
      </c>
      <c r="N49" s="5">
        <f>Q48</f>
        <v/>
      </c>
      <c r="O49" s="5">
        <f>IF(AND(B49,A49&lt;=_z2al7i),N49*_zz5rij,0)</f>
        <v/>
      </c>
      <c r="P49" s="5">
        <f>IF(AND(B49,A49&lt;=_z2al7i),_zgsfrl-O49,0)</f>
        <v/>
      </c>
      <c r="Q49" s="5">
        <f>N49-P49</f>
        <v/>
      </c>
      <c r="R49" s="5">
        <f>T48+J49*_z3dr73</f>
        <v/>
      </c>
      <c r="S49" s="5">
        <f>MAX(0,I49-R49)</f>
        <v/>
      </c>
      <c r="T49" s="5">
        <f>MAX(0,R49-I49)</f>
        <v/>
      </c>
      <c r="U49" s="5">
        <f>I49-S49</f>
        <v/>
      </c>
      <c r="V49" s="5">
        <f>S49*_zs8hzv</f>
        <v/>
      </c>
      <c r="W49" s="5">
        <f>IF(B49,L49-M49-O49-V49,0)</f>
        <v/>
      </c>
      <c r="X49" s="5">
        <f>IF(_z6gsqn="是",IF(A49&lt;=3,0,IF(A49&lt;=6,0.5,1)),1)</f>
        <v/>
      </c>
      <c r="Y49" s="5">
        <f>IF(B49,W49+O49,0)</f>
        <v/>
      </c>
      <c r="Z49" s="5">
        <f>MAX(0,-Y48)</f>
        <v/>
      </c>
      <c r="AA49" s="5">
        <f>MIN(Z48,MAX(0,(AD48+AC48+AB48+AA48+Z48)-AE48))</f>
        <v/>
      </c>
      <c r="AB49" s="5">
        <f>MIN(AA48,MAX(0,(AD48+AC48+AB48+AA48)-AE48))</f>
        <v/>
      </c>
      <c r="AC49" s="5">
        <f>MIN(AB48,MAX(0,(AD48+AC48+AB48)-AE48))</f>
        <v/>
      </c>
      <c r="AD49" s="5">
        <f>MIN(AC48,MAX(0,(AD48+AC48)-AE48))</f>
        <v/>
      </c>
      <c r="AE49" s="5">
        <f>MIN(MAX(Y49,0),Z49+AA49+AB49+AC49+AD49)</f>
        <v/>
      </c>
      <c r="AF49" s="5">
        <f>MAX(Y49,0)-AE49</f>
        <v/>
      </c>
      <c r="AG49" s="5">
        <f>AF49*_z3cyv7*X49</f>
        <v/>
      </c>
      <c r="AH49" s="5">
        <f>MAX(0,-W48)</f>
        <v/>
      </c>
      <c r="AI49" s="5">
        <f>MIN(AH48,MAX(0,(AL48+AK48+AJ48+AI48+AH48)-AM48))</f>
        <v/>
      </c>
      <c r="AJ49" s="5">
        <f>MIN(AI48,MAX(0,(AL48+AK48+AJ48+AI48)-AM48))</f>
        <v/>
      </c>
      <c r="AK49" s="5">
        <f>MIN(AJ48,MAX(0,(AL48+AK48+AJ48)-AM48))</f>
        <v/>
      </c>
      <c r="AL49" s="5">
        <f>MIN(AK48,MAX(0,(AL48+AK48)-AM48))</f>
        <v/>
      </c>
      <c r="AM49" s="5">
        <f>MIN(MAX(W49,0),AH49+AI49+AJ49+AK49+AL49)</f>
        <v/>
      </c>
      <c r="AN49" s="5">
        <f>MAX(W49,0)-AM49</f>
        <v/>
      </c>
      <c r="AO49" s="5">
        <f>AN49*_z3cyv7*X49</f>
        <v/>
      </c>
      <c r="AP49" s="5">
        <f>IF(A49=_zx5hja,_zk1wd3,0)</f>
        <v/>
      </c>
      <c r="AQ49" s="5">
        <f>IF(AND(A49=_zx5hja,_z2al7i&gt;_zx5hja),Q49,0)</f>
        <v/>
      </c>
      <c r="AR49" s="5">
        <f>IF(B49,L49-V49+U49+AP49,0)</f>
        <v/>
      </c>
      <c r="AS49" s="5">
        <f>AR49-AG49</f>
        <v/>
      </c>
      <c r="AT49" s="5">
        <f>IF(B49,W49-AO49+M49-P49+U49+AP49-AQ49,0)</f>
        <v/>
      </c>
      <c r="AU49" s="5">
        <f>AU48+AS49</f>
        <v/>
      </c>
      <c r="AV49" s="5">
        <f>IF(AND(AU48&lt;0,AU49&gt;=0,AS49&gt;0),1,0)</f>
        <v/>
      </c>
      <c r="AW49" s="5">
        <f>K49</f>
        <v/>
      </c>
      <c r="AX49" s="5">
        <f>IF(AR49=0,AX48,SIGN(AR49))</f>
        <v/>
      </c>
      <c r="AY49" s="5">
        <f>AY48+IF(OR(AR49=0,AX48=0),0,IF(SIGN(AR49)&lt;&gt;AX48,1,0))</f>
        <v/>
      </c>
      <c r="AZ49" s="5">
        <f>IF(AS49=0,AZ48,SIGN(AS49))</f>
        <v/>
      </c>
      <c r="BA49" s="5">
        <f>BA48+IF(OR(AS49=0,AZ48=0),0,IF(SIGN(AS49)&lt;&gt;AZ48,1,0))</f>
        <v/>
      </c>
      <c r="BB49" s="5">
        <f>IF(AT49=0,BB48,SIGN(AT49))</f>
        <v/>
      </c>
      <c r="BC49" s="5">
        <f>BC48+IF(OR(AT49=0,BB48=0),0,IF(SIGN(AT49)&lt;&gt;BB48,1,0))</f>
        <v/>
      </c>
    </row>
    <row r="50">
      <c r="A50" s="5" t="n">
        <v>9</v>
      </c>
      <c r="B50" s="5">
        <f>AND(A50&gt;=1,A50&lt;=_zx5hja)</f>
        <v/>
      </c>
      <c r="C50" s="5">
        <f>IF(B50,(1-_z4s9pf)^(A50-1),0)</f>
        <v/>
      </c>
      <c r="D50" s="5">
        <f>_z15be9*C50</f>
        <v/>
      </c>
      <c r="E50" s="5">
        <f>D50*_z3oe3u</f>
        <v/>
      </c>
      <c r="F50" s="5">
        <f>D50-E50</f>
        <v/>
      </c>
      <c r="G50" s="5">
        <f>E50*_z1b5au+F50*_zs0ztd</f>
        <v/>
      </c>
      <c r="H50" s="5">
        <f>G50/(1+_zbkm1b)</f>
        <v/>
      </c>
      <c r="I50" s="5">
        <f>G50-H50</f>
        <v/>
      </c>
      <c r="J50" s="5">
        <f>IF(AND(B50,A50=_z9dcjh),_zyev25*100*_zejl2g,0)</f>
        <v/>
      </c>
      <c r="K50" s="5">
        <f>IF(B50,_zyev25*_zbhogy+_z6ga35*_zj6im6+_zyev25*100*_zm3b2j+_z9dtod+J50,0)</f>
        <v/>
      </c>
      <c r="L50" s="5">
        <f>H50-K50</f>
        <v/>
      </c>
      <c r="M50" s="5">
        <f>IF(AND(B50,A50&lt;=_zk7d33),_zxo0o2/_zk7d33,0)</f>
        <v/>
      </c>
      <c r="N50" s="5">
        <f>Q49</f>
        <v/>
      </c>
      <c r="O50" s="5">
        <f>IF(AND(B50,A50&lt;=_z2al7i),N50*_zz5rij,0)</f>
        <v/>
      </c>
      <c r="P50" s="5">
        <f>IF(AND(B50,A50&lt;=_z2al7i),_zgsfrl-O50,0)</f>
        <v/>
      </c>
      <c r="Q50" s="5">
        <f>N50-P50</f>
        <v/>
      </c>
      <c r="R50" s="5">
        <f>T49+J50*_z3dr73</f>
        <v/>
      </c>
      <c r="S50" s="5">
        <f>MAX(0,I50-R50)</f>
        <v/>
      </c>
      <c r="T50" s="5">
        <f>MAX(0,R50-I50)</f>
        <v/>
      </c>
      <c r="U50" s="5">
        <f>I50-S50</f>
        <v/>
      </c>
      <c r="V50" s="5">
        <f>S50*_zs8hzv</f>
        <v/>
      </c>
      <c r="W50" s="5">
        <f>IF(B50,L50-M50-O50-V50,0)</f>
        <v/>
      </c>
      <c r="X50" s="5">
        <f>IF(_z6gsqn="是",IF(A50&lt;=3,0,IF(A50&lt;=6,0.5,1)),1)</f>
        <v/>
      </c>
      <c r="Y50" s="5">
        <f>IF(B50,W50+O50,0)</f>
        <v/>
      </c>
      <c r="Z50" s="5">
        <f>MAX(0,-Y49)</f>
        <v/>
      </c>
      <c r="AA50" s="5">
        <f>MIN(Z49,MAX(0,(AD49+AC49+AB49+AA49+Z49)-AE49))</f>
        <v/>
      </c>
      <c r="AB50" s="5">
        <f>MIN(AA49,MAX(0,(AD49+AC49+AB49+AA49)-AE49))</f>
        <v/>
      </c>
      <c r="AC50" s="5">
        <f>MIN(AB49,MAX(0,(AD49+AC49+AB49)-AE49))</f>
        <v/>
      </c>
      <c r="AD50" s="5">
        <f>MIN(AC49,MAX(0,(AD49+AC49)-AE49))</f>
        <v/>
      </c>
      <c r="AE50" s="5">
        <f>MIN(MAX(Y50,0),Z50+AA50+AB50+AC50+AD50)</f>
        <v/>
      </c>
      <c r="AF50" s="5">
        <f>MAX(Y50,0)-AE50</f>
        <v/>
      </c>
      <c r="AG50" s="5">
        <f>AF50*_z3cyv7*X50</f>
        <v/>
      </c>
      <c r="AH50" s="5">
        <f>MAX(0,-W49)</f>
        <v/>
      </c>
      <c r="AI50" s="5">
        <f>MIN(AH49,MAX(0,(AL49+AK49+AJ49+AI49+AH49)-AM49))</f>
        <v/>
      </c>
      <c r="AJ50" s="5">
        <f>MIN(AI49,MAX(0,(AL49+AK49+AJ49+AI49)-AM49))</f>
        <v/>
      </c>
      <c r="AK50" s="5">
        <f>MIN(AJ49,MAX(0,(AL49+AK49+AJ49)-AM49))</f>
        <v/>
      </c>
      <c r="AL50" s="5">
        <f>MIN(AK49,MAX(0,(AL49+AK49)-AM49))</f>
        <v/>
      </c>
      <c r="AM50" s="5">
        <f>MIN(MAX(W50,0),AH50+AI50+AJ50+AK50+AL50)</f>
        <v/>
      </c>
      <c r="AN50" s="5">
        <f>MAX(W50,0)-AM50</f>
        <v/>
      </c>
      <c r="AO50" s="5">
        <f>AN50*_z3cyv7*X50</f>
        <v/>
      </c>
      <c r="AP50" s="5">
        <f>IF(A50=_zx5hja,_zk1wd3,0)</f>
        <v/>
      </c>
      <c r="AQ50" s="5">
        <f>IF(AND(A50=_zx5hja,_z2al7i&gt;_zx5hja),Q50,0)</f>
        <v/>
      </c>
      <c r="AR50" s="5">
        <f>IF(B50,L50-V50+U50+AP50,0)</f>
        <v/>
      </c>
      <c r="AS50" s="5">
        <f>AR50-AG50</f>
        <v/>
      </c>
      <c r="AT50" s="5">
        <f>IF(B50,W50-AO50+M50-P50+U50+AP50-AQ50,0)</f>
        <v/>
      </c>
      <c r="AU50" s="5">
        <f>AU49+AS50</f>
        <v/>
      </c>
      <c r="AV50" s="5">
        <f>IF(AND(AU49&lt;0,AU50&gt;=0,AS50&gt;0),1,0)</f>
        <v/>
      </c>
      <c r="AW50" s="5">
        <f>K50</f>
        <v/>
      </c>
      <c r="AX50" s="5">
        <f>IF(AR50=0,AX49,SIGN(AR50))</f>
        <v/>
      </c>
      <c r="AY50" s="5">
        <f>AY49+IF(OR(AR50=0,AX49=0),0,IF(SIGN(AR50)&lt;&gt;AX49,1,0))</f>
        <v/>
      </c>
      <c r="AZ50" s="5">
        <f>IF(AS50=0,AZ49,SIGN(AS50))</f>
        <v/>
      </c>
      <c r="BA50" s="5">
        <f>BA49+IF(OR(AS50=0,AZ49=0),0,IF(SIGN(AS50)&lt;&gt;AZ49,1,0))</f>
        <v/>
      </c>
      <c r="BB50" s="5">
        <f>IF(AT50=0,BB49,SIGN(AT50))</f>
        <v/>
      </c>
      <c r="BC50" s="5">
        <f>BC49+IF(OR(AT50=0,BB49=0),0,IF(SIGN(AT50)&lt;&gt;BB49,1,0))</f>
        <v/>
      </c>
    </row>
    <row r="51">
      <c r="A51" s="5" t="n">
        <v>10</v>
      </c>
      <c r="B51" s="5">
        <f>AND(A51&gt;=1,A51&lt;=_zx5hja)</f>
        <v/>
      </c>
      <c r="C51" s="5">
        <f>IF(B51,(1-_z4s9pf)^(A51-1),0)</f>
        <v/>
      </c>
      <c r="D51" s="5">
        <f>_z15be9*C51</f>
        <v/>
      </c>
      <c r="E51" s="5">
        <f>D51*_z3oe3u</f>
        <v/>
      </c>
      <c r="F51" s="5">
        <f>D51-E51</f>
        <v/>
      </c>
      <c r="G51" s="5">
        <f>E51*_z1b5au+F51*_zs0ztd</f>
        <v/>
      </c>
      <c r="H51" s="5">
        <f>G51/(1+_zbkm1b)</f>
        <v/>
      </c>
      <c r="I51" s="5">
        <f>G51-H51</f>
        <v/>
      </c>
      <c r="J51" s="5">
        <f>IF(AND(B51,A51=_z9dcjh),_zyev25*100*_zejl2g,0)</f>
        <v/>
      </c>
      <c r="K51" s="5">
        <f>IF(B51,_zyev25*_zbhogy+_z6ga35*_zj6im6+_zyev25*100*_zm3b2j+_z9dtod+J51,0)</f>
        <v/>
      </c>
      <c r="L51" s="5">
        <f>H51-K51</f>
        <v/>
      </c>
      <c r="M51" s="5">
        <f>IF(AND(B51,A51&lt;=_zk7d33),_zxo0o2/_zk7d33,0)</f>
        <v/>
      </c>
      <c r="N51" s="5">
        <f>Q50</f>
        <v/>
      </c>
      <c r="O51" s="5">
        <f>IF(AND(B51,A51&lt;=_z2al7i),N51*_zz5rij,0)</f>
        <v/>
      </c>
      <c r="P51" s="5">
        <f>IF(AND(B51,A51&lt;=_z2al7i),_zgsfrl-O51,0)</f>
        <v/>
      </c>
      <c r="Q51" s="5">
        <f>N51-P51</f>
        <v/>
      </c>
      <c r="R51" s="5">
        <f>T50+J51*_z3dr73</f>
        <v/>
      </c>
      <c r="S51" s="5">
        <f>MAX(0,I51-R51)</f>
        <v/>
      </c>
      <c r="T51" s="5">
        <f>MAX(0,R51-I51)</f>
        <v/>
      </c>
      <c r="U51" s="5">
        <f>I51-S51</f>
        <v/>
      </c>
      <c r="V51" s="5">
        <f>S51*_zs8hzv</f>
        <v/>
      </c>
      <c r="W51" s="5">
        <f>IF(B51,L51-M51-O51-V51,0)</f>
        <v/>
      </c>
      <c r="X51" s="5">
        <f>IF(_z6gsqn="是",IF(A51&lt;=3,0,IF(A51&lt;=6,0.5,1)),1)</f>
        <v/>
      </c>
      <c r="Y51" s="5">
        <f>IF(B51,W51+O51,0)</f>
        <v/>
      </c>
      <c r="Z51" s="5">
        <f>MAX(0,-Y50)</f>
        <v/>
      </c>
      <c r="AA51" s="5">
        <f>MIN(Z50,MAX(0,(AD50+AC50+AB50+AA50+Z50)-AE50))</f>
        <v/>
      </c>
      <c r="AB51" s="5">
        <f>MIN(AA50,MAX(0,(AD50+AC50+AB50+AA50)-AE50))</f>
        <v/>
      </c>
      <c r="AC51" s="5">
        <f>MIN(AB50,MAX(0,(AD50+AC50+AB50)-AE50))</f>
        <v/>
      </c>
      <c r="AD51" s="5">
        <f>MIN(AC50,MAX(0,(AD50+AC50)-AE50))</f>
        <v/>
      </c>
      <c r="AE51" s="5">
        <f>MIN(MAX(Y51,0),Z51+AA51+AB51+AC51+AD51)</f>
        <v/>
      </c>
      <c r="AF51" s="5">
        <f>MAX(Y51,0)-AE51</f>
        <v/>
      </c>
      <c r="AG51" s="5">
        <f>AF51*_z3cyv7*X51</f>
        <v/>
      </c>
      <c r="AH51" s="5">
        <f>MAX(0,-W50)</f>
        <v/>
      </c>
      <c r="AI51" s="5">
        <f>MIN(AH50,MAX(0,(AL50+AK50+AJ50+AI50+AH50)-AM50))</f>
        <v/>
      </c>
      <c r="AJ51" s="5">
        <f>MIN(AI50,MAX(0,(AL50+AK50+AJ50+AI50)-AM50))</f>
        <v/>
      </c>
      <c r="AK51" s="5">
        <f>MIN(AJ50,MAX(0,(AL50+AK50+AJ50)-AM50))</f>
        <v/>
      </c>
      <c r="AL51" s="5">
        <f>MIN(AK50,MAX(0,(AL50+AK50)-AM50))</f>
        <v/>
      </c>
      <c r="AM51" s="5">
        <f>MIN(MAX(W51,0),AH51+AI51+AJ51+AK51+AL51)</f>
        <v/>
      </c>
      <c r="AN51" s="5">
        <f>MAX(W51,0)-AM51</f>
        <v/>
      </c>
      <c r="AO51" s="5">
        <f>AN51*_z3cyv7*X51</f>
        <v/>
      </c>
      <c r="AP51" s="5">
        <f>IF(A51=_zx5hja,_zk1wd3,0)</f>
        <v/>
      </c>
      <c r="AQ51" s="5">
        <f>IF(AND(A51=_zx5hja,_z2al7i&gt;_zx5hja),Q51,0)</f>
        <v/>
      </c>
      <c r="AR51" s="5">
        <f>IF(B51,L51-V51+U51+AP51,0)</f>
        <v/>
      </c>
      <c r="AS51" s="5">
        <f>AR51-AG51</f>
        <v/>
      </c>
      <c r="AT51" s="5">
        <f>IF(B51,W51-AO51+M51-P51+U51+AP51-AQ51,0)</f>
        <v/>
      </c>
      <c r="AU51" s="5">
        <f>AU50+AS51</f>
        <v/>
      </c>
      <c r="AV51" s="5">
        <f>IF(AND(AU50&lt;0,AU51&gt;=0,AS51&gt;0),1,0)</f>
        <v/>
      </c>
      <c r="AW51" s="5">
        <f>K51</f>
        <v/>
      </c>
      <c r="AX51" s="5">
        <f>IF(AR51=0,AX50,SIGN(AR51))</f>
        <v/>
      </c>
      <c r="AY51" s="5">
        <f>AY50+IF(OR(AR51=0,AX50=0),0,IF(SIGN(AR51)&lt;&gt;AX50,1,0))</f>
        <v/>
      </c>
      <c r="AZ51" s="5">
        <f>IF(AS51=0,AZ50,SIGN(AS51))</f>
        <v/>
      </c>
      <c r="BA51" s="5">
        <f>BA50+IF(OR(AS51=0,AZ50=0),0,IF(SIGN(AS51)&lt;&gt;AZ50,1,0))</f>
        <v/>
      </c>
      <c r="BB51" s="5">
        <f>IF(AT51=0,BB50,SIGN(AT51))</f>
        <v/>
      </c>
      <c r="BC51" s="5">
        <f>BC50+IF(OR(AT51=0,BB50=0),0,IF(SIGN(AT51)&lt;&gt;BB50,1,0))</f>
        <v/>
      </c>
    </row>
    <row r="52">
      <c r="A52" s="5" t="n">
        <v>11</v>
      </c>
      <c r="B52" s="5">
        <f>AND(A52&gt;=1,A52&lt;=_zx5hja)</f>
        <v/>
      </c>
      <c r="C52" s="5">
        <f>IF(B52,(1-_z4s9pf)^(A52-1),0)</f>
        <v/>
      </c>
      <c r="D52" s="5">
        <f>_z15be9*C52</f>
        <v/>
      </c>
      <c r="E52" s="5">
        <f>D52*_z3oe3u</f>
        <v/>
      </c>
      <c r="F52" s="5">
        <f>D52-E52</f>
        <v/>
      </c>
      <c r="G52" s="5">
        <f>E52*_z1b5au+F52*_zs0ztd</f>
        <v/>
      </c>
      <c r="H52" s="5">
        <f>G52/(1+_zbkm1b)</f>
        <v/>
      </c>
      <c r="I52" s="5">
        <f>G52-H52</f>
        <v/>
      </c>
      <c r="J52" s="5">
        <f>IF(AND(B52,A52=_z9dcjh),_zyev25*100*_zejl2g,0)</f>
        <v/>
      </c>
      <c r="K52" s="5">
        <f>IF(B52,_zyev25*_zbhogy+_z6ga35*_zj6im6+_zyev25*100*_zm3b2j+_z9dtod+J52,0)</f>
        <v/>
      </c>
      <c r="L52" s="5">
        <f>H52-K52</f>
        <v/>
      </c>
      <c r="M52" s="5">
        <f>IF(AND(B52,A52&lt;=_zk7d33),_zxo0o2/_zk7d33,0)</f>
        <v/>
      </c>
      <c r="N52" s="5">
        <f>Q51</f>
        <v/>
      </c>
      <c r="O52" s="5">
        <f>IF(AND(B52,A52&lt;=_z2al7i),N52*_zz5rij,0)</f>
        <v/>
      </c>
      <c r="P52" s="5">
        <f>IF(AND(B52,A52&lt;=_z2al7i),_zgsfrl-O52,0)</f>
        <v/>
      </c>
      <c r="Q52" s="5">
        <f>N52-P52</f>
        <v/>
      </c>
      <c r="R52" s="5">
        <f>T51+J52*_z3dr73</f>
        <v/>
      </c>
      <c r="S52" s="5">
        <f>MAX(0,I52-R52)</f>
        <v/>
      </c>
      <c r="T52" s="5">
        <f>MAX(0,R52-I52)</f>
        <v/>
      </c>
      <c r="U52" s="5">
        <f>I52-S52</f>
        <v/>
      </c>
      <c r="V52" s="5">
        <f>S52*_zs8hzv</f>
        <v/>
      </c>
      <c r="W52" s="5">
        <f>IF(B52,L52-M52-O52-V52,0)</f>
        <v/>
      </c>
      <c r="X52" s="5">
        <f>IF(_z6gsqn="是",IF(A52&lt;=3,0,IF(A52&lt;=6,0.5,1)),1)</f>
        <v/>
      </c>
      <c r="Y52" s="5">
        <f>IF(B52,W52+O52,0)</f>
        <v/>
      </c>
      <c r="Z52" s="5">
        <f>MAX(0,-Y51)</f>
        <v/>
      </c>
      <c r="AA52" s="5">
        <f>MIN(Z51,MAX(0,(AD51+AC51+AB51+AA51+Z51)-AE51))</f>
        <v/>
      </c>
      <c r="AB52" s="5">
        <f>MIN(AA51,MAX(0,(AD51+AC51+AB51+AA51)-AE51))</f>
        <v/>
      </c>
      <c r="AC52" s="5">
        <f>MIN(AB51,MAX(0,(AD51+AC51+AB51)-AE51))</f>
        <v/>
      </c>
      <c r="AD52" s="5">
        <f>MIN(AC51,MAX(0,(AD51+AC51)-AE51))</f>
        <v/>
      </c>
      <c r="AE52" s="5">
        <f>MIN(MAX(Y52,0),Z52+AA52+AB52+AC52+AD52)</f>
        <v/>
      </c>
      <c r="AF52" s="5">
        <f>MAX(Y52,0)-AE52</f>
        <v/>
      </c>
      <c r="AG52" s="5">
        <f>AF52*_z3cyv7*X52</f>
        <v/>
      </c>
      <c r="AH52" s="5">
        <f>MAX(0,-W51)</f>
        <v/>
      </c>
      <c r="AI52" s="5">
        <f>MIN(AH51,MAX(0,(AL51+AK51+AJ51+AI51+AH51)-AM51))</f>
        <v/>
      </c>
      <c r="AJ52" s="5">
        <f>MIN(AI51,MAX(0,(AL51+AK51+AJ51+AI51)-AM51))</f>
        <v/>
      </c>
      <c r="AK52" s="5">
        <f>MIN(AJ51,MAX(0,(AL51+AK51+AJ51)-AM51))</f>
        <v/>
      </c>
      <c r="AL52" s="5">
        <f>MIN(AK51,MAX(0,(AL51+AK51)-AM51))</f>
        <v/>
      </c>
      <c r="AM52" s="5">
        <f>MIN(MAX(W52,0),AH52+AI52+AJ52+AK52+AL52)</f>
        <v/>
      </c>
      <c r="AN52" s="5">
        <f>MAX(W52,0)-AM52</f>
        <v/>
      </c>
      <c r="AO52" s="5">
        <f>AN52*_z3cyv7*X52</f>
        <v/>
      </c>
      <c r="AP52" s="5">
        <f>IF(A52=_zx5hja,_zk1wd3,0)</f>
        <v/>
      </c>
      <c r="AQ52" s="5">
        <f>IF(AND(A52=_zx5hja,_z2al7i&gt;_zx5hja),Q52,0)</f>
        <v/>
      </c>
      <c r="AR52" s="5">
        <f>IF(B52,L52-V52+U52+AP52,0)</f>
        <v/>
      </c>
      <c r="AS52" s="5">
        <f>AR52-AG52</f>
        <v/>
      </c>
      <c r="AT52" s="5">
        <f>IF(B52,W52-AO52+M52-P52+U52+AP52-AQ52,0)</f>
        <v/>
      </c>
      <c r="AU52" s="5">
        <f>AU51+AS52</f>
        <v/>
      </c>
      <c r="AV52" s="5">
        <f>IF(AND(AU51&lt;0,AU52&gt;=0,AS52&gt;0),1,0)</f>
        <v/>
      </c>
      <c r="AW52" s="5">
        <f>K52</f>
        <v/>
      </c>
      <c r="AX52" s="5">
        <f>IF(AR52=0,AX51,SIGN(AR52))</f>
        <v/>
      </c>
      <c r="AY52" s="5">
        <f>AY51+IF(OR(AR52=0,AX51=0),0,IF(SIGN(AR52)&lt;&gt;AX51,1,0))</f>
        <v/>
      </c>
      <c r="AZ52" s="5">
        <f>IF(AS52=0,AZ51,SIGN(AS52))</f>
        <v/>
      </c>
      <c r="BA52" s="5">
        <f>BA51+IF(OR(AS52=0,AZ51=0),0,IF(SIGN(AS52)&lt;&gt;AZ51,1,0))</f>
        <v/>
      </c>
      <c r="BB52" s="5">
        <f>IF(AT52=0,BB51,SIGN(AT52))</f>
        <v/>
      </c>
      <c r="BC52" s="5">
        <f>BC51+IF(OR(AT52=0,BB51=0),0,IF(SIGN(AT52)&lt;&gt;BB51,1,0))</f>
        <v/>
      </c>
    </row>
    <row r="53">
      <c r="A53" s="5" t="n">
        <v>12</v>
      </c>
      <c r="B53" s="5">
        <f>AND(A53&gt;=1,A53&lt;=_zx5hja)</f>
        <v/>
      </c>
      <c r="C53" s="5">
        <f>IF(B53,(1-_z4s9pf)^(A53-1),0)</f>
        <v/>
      </c>
      <c r="D53" s="5">
        <f>_z15be9*C53</f>
        <v/>
      </c>
      <c r="E53" s="5">
        <f>D53*_z3oe3u</f>
        <v/>
      </c>
      <c r="F53" s="5">
        <f>D53-E53</f>
        <v/>
      </c>
      <c r="G53" s="5">
        <f>E53*_z1b5au+F53*_zs0ztd</f>
        <v/>
      </c>
      <c r="H53" s="5">
        <f>G53/(1+_zbkm1b)</f>
        <v/>
      </c>
      <c r="I53" s="5">
        <f>G53-H53</f>
        <v/>
      </c>
      <c r="J53" s="5">
        <f>IF(AND(B53,A53=_z9dcjh),_zyev25*100*_zejl2g,0)</f>
        <v/>
      </c>
      <c r="K53" s="5">
        <f>IF(B53,_zyev25*_zbhogy+_z6ga35*_zj6im6+_zyev25*100*_zm3b2j+_z9dtod+J53,0)</f>
        <v/>
      </c>
      <c r="L53" s="5">
        <f>H53-K53</f>
        <v/>
      </c>
      <c r="M53" s="5">
        <f>IF(AND(B53,A53&lt;=_zk7d33),_zxo0o2/_zk7d33,0)</f>
        <v/>
      </c>
      <c r="N53" s="5">
        <f>Q52</f>
        <v/>
      </c>
      <c r="O53" s="5">
        <f>IF(AND(B53,A53&lt;=_z2al7i),N53*_zz5rij,0)</f>
        <v/>
      </c>
      <c r="P53" s="5">
        <f>IF(AND(B53,A53&lt;=_z2al7i),_zgsfrl-O53,0)</f>
        <v/>
      </c>
      <c r="Q53" s="5">
        <f>N53-P53</f>
        <v/>
      </c>
      <c r="R53" s="5">
        <f>T52+J53*_z3dr73</f>
        <v/>
      </c>
      <c r="S53" s="5">
        <f>MAX(0,I53-R53)</f>
        <v/>
      </c>
      <c r="T53" s="5">
        <f>MAX(0,R53-I53)</f>
        <v/>
      </c>
      <c r="U53" s="5">
        <f>I53-S53</f>
        <v/>
      </c>
      <c r="V53" s="5">
        <f>S53*_zs8hzv</f>
        <v/>
      </c>
      <c r="W53" s="5">
        <f>IF(B53,L53-M53-O53-V53,0)</f>
        <v/>
      </c>
      <c r="X53" s="5">
        <f>IF(_z6gsqn="是",IF(A53&lt;=3,0,IF(A53&lt;=6,0.5,1)),1)</f>
        <v/>
      </c>
      <c r="Y53" s="5">
        <f>IF(B53,W53+O53,0)</f>
        <v/>
      </c>
      <c r="Z53" s="5">
        <f>MAX(0,-Y52)</f>
        <v/>
      </c>
      <c r="AA53" s="5">
        <f>MIN(Z52,MAX(0,(AD52+AC52+AB52+AA52+Z52)-AE52))</f>
        <v/>
      </c>
      <c r="AB53" s="5">
        <f>MIN(AA52,MAX(0,(AD52+AC52+AB52+AA52)-AE52))</f>
        <v/>
      </c>
      <c r="AC53" s="5">
        <f>MIN(AB52,MAX(0,(AD52+AC52+AB52)-AE52))</f>
        <v/>
      </c>
      <c r="AD53" s="5">
        <f>MIN(AC52,MAX(0,(AD52+AC52)-AE52))</f>
        <v/>
      </c>
      <c r="AE53" s="5">
        <f>MIN(MAX(Y53,0),Z53+AA53+AB53+AC53+AD53)</f>
        <v/>
      </c>
      <c r="AF53" s="5">
        <f>MAX(Y53,0)-AE53</f>
        <v/>
      </c>
      <c r="AG53" s="5">
        <f>AF53*_z3cyv7*X53</f>
        <v/>
      </c>
      <c r="AH53" s="5">
        <f>MAX(0,-W52)</f>
        <v/>
      </c>
      <c r="AI53" s="5">
        <f>MIN(AH52,MAX(0,(AL52+AK52+AJ52+AI52+AH52)-AM52))</f>
        <v/>
      </c>
      <c r="AJ53" s="5">
        <f>MIN(AI52,MAX(0,(AL52+AK52+AJ52+AI52)-AM52))</f>
        <v/>
      </c>
      <c r="AK53" s="5">
        <f>MIN(AJ52,MAX(0,(AL52+AK52+AJ52)-AM52))</f>
        <v/>
      </c>
      <c r="AL53" s="5">
        <f>MIN(AK52,MAX(0,(AL52+AK52)-AM52))</f>
        <v/>
      </c>
      <c r="AM53" s="5">
        <f>MIN(MAX(W53,0),AH53+AI53+AJ53+AK53+AL53)</f>
        <v/>
      </c>
      <c r="AN53" s="5">
        <f>MAX(W53,0)-AM53</f>
        <v/>
      </c>
      <c r="AO53" s="5">
        <f>AN53*_z3cyv7*X53</f>
        <v/>
      </c>
      <c r="AP53" s="5">
        <f>IF(A53=_zx5hja,_zk1wd3,0)</f>
        <v/>
      </c>
      <c r="AQ53" s="5">
        <f>IF(AND(A53=_zx5hja,_z2al7i&gt;_zx5hja),Q53,0)</f>
        <v/>
      </c>
      <c r="AR53" s="5">
        <f>IF(B53,L53-V53+U53+AP53,0)</f>
        <v/>
      </c>
      <c r="AS53" s="5">
        <f>AR53-AG53</f>
        <v/>
      </c>
      <c r="AT53" s="5">
        <f>IF(B53,W53-AO53+M53-P53+U53+AP53-AQ53,0)</f>
        <v/>
      </c>
      <c r="AU53" s="5">
        <f>AU52+AS53</f>
        <v/>
      </c>
      <c r="AV53" s="5">
        <f>IF(AND(AU52&lt;0,AU53&gt;=0,AS53&gt;0),1,0)</f>
        <v/>
      </c>
      <c r="AW53" s="5">
        <f>K53</f>
        <v/>
      </c>
      <c r="AX53" s="5">
        <f>IF(AR53=0,AX52,SIGN(AR53))</f>
        <v/>
      </c>
      <c r="AY53" s="5">
        <f>AY52+IF(OR(AR53=0,AX52=0),0,IF(SIGN(AR53)&lt;&gt;AX52,1,0))</f>
        <v/>
      </c>
      <c r="AZ53" s="5">
        <f>IF(AS53=0,AZ52,SIGN(AS53))</f>
        <v/>
      </c>
      <c r="BA53" s="5">
        <f>BA52+IF(OR(AS53=0,AZ52=0),0,IF(SIGN(AS53)&lt;&gt;AZ52,1,0))</f>
        <v/>
      </c>
      <c r="BB53" s="5">
        <f>IF(AT53=0,BB52,SIGN(AT53))</f>
        <v/>
      </c>
      <c r="BC53" s="5">
        <f>BC52+IF(OR(AT53=0,BB52=0),0,IF(SIGN(AT53)&lt;&gt;BB52,1,0))</f>
        <v/>
      </c>
    </row>
    <row r="54">
      <c r="A54" s="5" t="n">
        <v>13</v>
      </c>
      <c r="B54" s="5">
        <f>AND(A54&gt;=1,A54&lt;=_zx5hja)</f>
        <v/>
      </c>
      <c r="C54" s="5">
        <f>IF(B54,(1-_z4s9pf)^(A54-1),0)</f>
        <v/>
      </c>
      <c r="D54" s="5">
        <f>_z15be9*C54</f>
        <v/>
      </c>
      <c r="E54" s="5">
        <f>D54*_z3oe3u</f>
        <v/>
      </c>
      <c r="F54" s="5">
        <f>D54-E54</f>
        <v/>
      </c>
      <c r="G54" s="5">
        <f>E54*_z1b5au+F54*_zs0ztd</f>
        <v/>
      </c>
      <c r="H54" s="5">
        <f>G54/(1+_zbkm1b)</f>
        <v/>
      </c>
      <c r="I54" s="5">
        <f>G54-H54</f>
        <v/>
      </c>
      <c r="J54" s="5">
        <f>IF(AND(B54,A54=_z9dcjh),_zyev25*100*_zejl2g,0)</f>
        <v/>
      </c>
      <c r="K54" s="5">
        <f>IF(B54,_zyev25*_zbhogy+_z6ga35*_zj6im6+_zyev25*100*_zm3b2j+_z9dtod+J54,0)</f>
        <v/>
      </c>
      <c r="L54" s="5">
        <f>H54-K54</f>
        <v/>
      </c>
      <c r="M54" s="5">
        <f>IF(AND(B54,A54&lt;=_zk7d33),_zxo0o2/_zk7d33,0)</f>
        <v/>
      </c>
      <c r="N54" s="5">
        <f>Q53</f>
        <v/>
      </c>
      <c r="O54" s="5">
        <f>IF(AND(B54,A54&lt;=_z2al7i),N54*_zz5rij,0)</f>
        <v/>
      </c>
      <c r="P54" s="5">
        <f>IF(AND(B54,A54&lt;=_z2al7i),_zgsfrl-O54,0)</f>
        <v/>
      </c>
      <c r="Q54" s="5">
        <f>N54-P54</f>
        <v/>
      </c>
      <c r="R54" s="5">
        <f>T53+J54*_z3dr73</f>
        <v/>
      </c>
      <c r="S54" s="5">
        <f>MAX(0,I54-R54)</f>
        <v/>
      </c>
      <c r="T54" s="5">
        <f>MAX(0,R54-I54)</f>
        <v/>
      </c>
      <c r="U54" s="5">
        <f>I54-S54</f>
        <v/>
      </c>
      <c r="V54" s="5">
        <f>S54*_zs8hzv</f>
        <v/>
      </c>
      <c r="W54" s="5">
        <f>IF(B54,L54-M54-O54-V54,0)</f>
        <v/>
      </c>
      <c r="X54" s="5">
        <f>IF(_z6gsqn="是",IF(A54&lt;=3,0,IF(A54&lt;=6,0.5,1)),1)</f>
        <v/>
      </c>
      <c r="Y54" s="5">
        <f>IF(B54,W54+O54,0)</f>
        <v/>
      </c>
      <c r="Z54" s="5">
        <f>MAX(0,-Y53)</f>
        <v/>
      </c>
      <c r="AA54" s="5">
        <f>MIN(Z53,MAX(0,(AD53+AC53+AB53+AA53+Z53)-AE53))</f>
        <v/>
      </c>
      <c r="AB54" s="5">
        <f>MIN(AA53,MAX(0,(AD53+AC53+AB53+AA53)-AE53))</f>
        <v/>
      </c>
      <c r="AC54" s="5">
        <f>MIN(AB53,MAX(0,(AD53+AC53+AB53)-AE53))</f>
        <v/>
      </c>
      <c r="AD54" s="5">
        <f>MIN(AC53,MAX(0,(AD53+AC53)-AE53))</f>
        <v/>
      </c>
      <c r="AE54" s="5">
        <f>MIN(MAX(Y54,0),Z54+AA54+AB54+AC54+AD54)</f>
        <v/>
      </c>
      <c r="AF54" s="5">
        <f>MAX(Y54,0)-AE54</f>
        <v/>
      </c>
      <c r="AG54" s="5">
        <f>AF54*_z3cyv7*X54</f>
        <v/>
      </c>
      <c r="AH54" s="5">
        <f>MAX(0,-W53)</f>
        <v/>
      </c>
      <c r="AI54" s="5">
        <f>MIN(AH53,MAX(0,(AL53+AK53+AJ53+AI53+AH53)-AM53))</f>
        <v/>
      </c>
      <c r="AJ54" s="5">
        <f>MIN(AI53,MAX(0,(AL53+AK53+AJ53+AI53)-AM53))</f>
        <v/>
      </c>
      <c r="AK54" s="5">
        <f>MIN(AJ53,MAX(0,(AL53+AK53+AJ53)-AM53))</f>
        <v/>
      </c>
      <c r="AL54" s="5">
        <f>MIN(AK53,MAX(0,(AL53+AK53)-AM53))</f>
        <v/>
      </c>
      <c r="AM54" s="5">
        <f>MIN(MAX(W54,0),AH54+AI54+AJ54+AK54+AL54)</f>
        <v/>
      </c>
      <c r="AN54" s="5">
        <f>MAX(W54,0)-AM54</f>
        <v/>
      </c>
      <c r="AO54" s="5">
        <f>AN54*_z3cyv7*X54</f>
        <v/>
      </c>
      <c r="AP54" s="5">
        <f>IF(A54=_zx5hja,_zk1wd3,0)</f>
        <v/>
      </c>
      <c r="AQ54" s="5">
        <f>IF(AND(A54=_zx5hja,_z2al7i&gt;_zx5hja),Q54,0)</f>
        <v/>
      </c>
      <c r="AR54" s="5">
        <f>IF(B54,L54-V54+U54+AP54,0)</f>
        <v/>
      </c>
      <c r="AS54" s="5">
        <f>AR54-AG54</f>
        <v/>
      </c>
      <c r="AT54" s="5">
        <f>IF(B54,W54-AO54+M54-P54+U54+AP54-AQ54,0)</f>
        <v/>
      </c>
      <c r="AU54" s="5">
        <f>AU53+AS54</f>
        <v/>
      </c>
      <c r="AV54" s="5">
        <f>IF(AND(AU53&lt;0,AU54&gt;=0,AS54&gt;0),1,0)</f>
        <v/>
      </c>
      <c r="AW54" s="5">
        <f>K54</f>
        <v/>
      </c>
      <c r="AX54" s="5">
        <f>IF(AR54=0,AX53,SIGN(AR54))</f>
        <v/>
      </c>
      <c r="AY54" s="5">
        <f>AY53+IF(OR(AR54=0,AX53=0),0,IF(SIGN(AR54)&lt;&gt;AX53,1,0))</f>
        <v/>
      </c>
      <c r="AZ54" s="5">
        <f>IF(AS54=0,AZ53,SIGN(AS54))</f>
        <v/>
      </c>
      <c r="BA54" s="5">
        <f>BA53+IF(OR(AS54=0,AZ53=0),0,IF(SIGN(AS54)&lt;&gt;AZ53,1,0))</f>
        <v/>
      </c>
      <c r="BB54" s="5">
        <f>IF(AT54=0,BB53,SIGN(AT54))</f>
        <v/>
      </c>
      <c r="BC54" s="5">
        <f>BC53+IF(OR(AT54=0,BB53=0),0,IF(SIGN(AT54)&lt;&gt;BB53,1,0))</f>
        <v/>
      </c>
    </row>
    <row r="55">
      <c r="A55" s="5" t="n">
        <v>14</v>
      </c>
      <c r="B55" s="5">
        <f>AND(A55&gt;=1,A55&lt;=_zx5hja)</f>
        <v/>
      </c>
      <c r="C55" s="5">
        <f>IF(B55,(1-_z4s9pf)^(A55-1),0)</f>
        <v/>
      </c>
      <c r="D55" s="5">
        <f>_z15be9*C55</f>
        <v/>
      </c>
      <c r="E55" s="5">
        <f>D55*_z3oe3u</f>
        <v/>
      </c>
      <c r="F55" s="5">
        <f>D55-E55</f>
        <v/>
      </c>
      <c r="G55" s="5">
        <f>E55*_z1b5au+F55*_zs0ztd</f>
        <v/>
      </c>
      <c r="H55" s="5">
        <f>G55/(1+_zbkm1b)</f>
        <v/>
      </c>
      <c r="I55" s="5">
        <f>G55-H55</f>
        <v/>
      </c>
      <c r="J55" s="5">
        <f>IF(AND(B55,A55=_z9dcjh),_zyev25*100*_zejl2g,0)</f>
        <v/>
      </c>
      <c r="K55" s="5">
        <f>IF(B55,_zyev25*_zbhogy+_z6ga35*_zj6im6+_zyev25*100*_zm3b2j+_z9dtod+J55,0)</f>
        <v/>
      </c>
      <c r="L55" s="5">
        <f>H55-K55</f>
        <v/>
      </c>
      <c r="M55" s="5">
        <f>IF(AND(B55,A55&lt;=_zk7d33),_zxo0o2/_zk7d33,0)</f>
        <v/>
      </c>
      <c r="N55" s="5">
        <f>Q54</f>
        <v/>
      </c>
      <c r="O55" s="5">
        <f>IF(AND(B55,A55&lt;=_z2al7i),N55*_zz5rij,0)</f>
        <v/>
      </c>
      <c r="P55" s="5">
        <f>IF(AND(B55,A55&lt;=_z2al7i),_zgsfrl-O55,0)</f>
        <v/>
      </c>
      <c r="Q55" s="5">
        <f>N55-P55</f>
        <v/>
      </c>
      <c r="R55" s="5">
        <f>T54+J55*_z3dr73</f>
        <v/>
      </c>
      <c r="S55" s="5">
        <f>MAX(0,I55-R55)</f>
        <v/>
      </c>
      <c r="T55" s="5">
        <f>MAX(0,R55-I55)</f>
        <v/>
      </c>
      <c r="U55" s="5">
        <f>I55-S55</f>
        <v/>
      </c>
      <c r="V55" s="5">
        <f>S55*_zs8hzv</f>
        <v/>
      </c>
      <c r="W55" s="5">
        <f>IF(B55,L55-M55-O55-V55,0)</f>
        <v/>
      </c>
      <c r="X55" s="5">
        <f>IF(_z6gsqn="是",IF(A55&lt;=3,0,IF(A55&lt;=6,0.5,1)),1)</f>
        <v/>
      </c>
      <c r="Y55" s="5">
        <f>IF(B55,W55+O55,0)</f>
        <v/>
      </c>
      <c r="Z55" s="5">
        <f>MAX(0,-Y54)</f>
        <v/>
      </c>
      <c r="AA55" s="5">
        <f>MIN(Z54,MAX(0,(AD54+AC54+AB54+AA54+Z54)-AE54))</f>
        <v/>
      </c>
      <c r="AB55" s="5">
        <f>MIN(AA54,MAX(0,(AD54+AC54+AB54+AA54)-AE54))</f>
        <v/>
      </c>
      <c r="AC55" s="5">
        <f>MIN(AB54,MAX(0,(AD54+AC54+AB54)-AE54))</f>
        <v/>
      </c>
      <c r="AD55" s="5">
        <f>MIN(AC54,MAX(0,(AD54+AC54)-AE54))</f>
        <v/>
      </c>
      <c r="AE55" s="5">
        <f>MIN(MAX(Y55,0),Z55+AA55+AB55+AC55+AD55)</f>
        <v/>
      </c>
      <c r="AF55" s="5">
        <f>MAX(Y55,0)-AE55</f>
        <v/>
      </c>
      <c r="AG55" s="5">
        <f>AF55*_z3cyv7*X55</f>
        <v/>
      </c>
      <c r="AH55" s="5">
        <f>MAX(0,-W54)</f>
        <v/>
      </c>
      <c r="AI55" s="5">
        <f>MIN(AH54,MAX(0,(AL54+AK54+AJ54+AI54+AH54)-AM54))</f>
        <v/>
      </c>
      <c r="AJ55" s="5">
        <f>MIN(AI54,MAX(0,(AL54+AK54+AJ54+AI54)-AM54))</f>
        <v/>
      </c>
      <c r="AK55" s="5">
        <f>MIN(AJ54,MAX(0,(AL54+AK54+AJ54)-AM54))</f>
        <v/>
      </c>
      <c r="AL55" s="5">
        <f>MIN(AK54,MAX(0,(AL54+AK54)-AM54))</f>
        <v/>
      </c>
      <c r="AM55" s="5">
        <f>MIN(MAX(W55,0),AH55+AI55+AJ55+AK55+AL55)</f>
        <v/>
      </c>
      <c r="AN55" s="5">
        <f>MAX(W55,0)-AM55</f>
        <v/>
      </c>
      <c r="AO55" s="5">
        <f>AN55*_z3cyv7*X55</f>
        <v/>
      </c>
      <c r="AP55" s="5">
        <f>IF(A55=_zx5hja,_zk1wd3,0)</f>
        <v/>
      </c>
      <c r="AQ55" s="5">
        <f>IF(AND(A55=_zx5hja,_z2al7i&gt;_zx5hja),Q55,0)</f>
        <v/>
      </c>
      <c r="AR55" s="5">
        <f>IF(B55,L55-V55+U55+AP55,0)</f>
        <v/>
      </c>
      <c r="AS55" s="5">
        <f>AR55-AG55</f>
        <v/>
      </c>
      <c r="AT55" s="5">
        <f>IF(B55,W55-AO55+M55-P55+U55+AP55-AQ55,0)</f>
        <v/>
      </c>
      <c r="AU55" s="5">
        <f>AU54+AS55</f>
        <v/>
      </c>
      <c r="AV55" s="5">
        <f>IF(AND(AU54&lt;0,AU55&gt;=0,AS55&gt;0),1,0)</f>
        <v/>
      </c>
      <c r="AW55" s="5">
        <f>K55</f>
        <v/>
      </c>
      <c r="AX55" s="5">
        <f>IF(AR55=0,AX54,SIGN(AR55))</f>
        <v/>
      </c>
      <c r="AY55" s="5">
        <f>AY54+IF(OR(AR55=0,AX54=0),0,IF(SIGN(AR55)&lt;&gt;AX54,1,0))</f>
        <v/>
      </c>
      <c r="AZ55" s="5">
        <f>IF(AS55=0,AZ54,SIGN(AS55))</f>
        <v/>
      </c>
      <c r="BA55" s="5">
        <f>BA54+IF(OR(AS55=0,AZ54=0),0,IF(SIGN(AS55)&lt;&gt;AZ54,1,0))</f>
        <v/>
      </c>
      <c r="BB55" s="5">
        <f>IF(AT55=0,BB54,SIGN(AT55))</f>
        <v/>
      </c>
      <c r="BC55" s="5">
        <f>BC54+IF(OR(AT55=0,BB54=0),0,IF(SIGN(AT55)&lt;&gt;BB54,1,0))</f>
        <v/>
      </c>
    </row>
    <row r="56">
      <c r="A56" s="5" t="n">
        <v>15</v>
      </c>
      <c r="B56" s="5">
        <f>AND(A56&gt;=1,A56&lt;=_zx5hja)</f>
        <v/>
      </c>
      <c r="C56" s="5">
        <f>IF(B56,(1-_z4s9pf)^(A56-1),0)</f>
        <v/>
      </c>
      <c r="D56" s="5">
        <f>_z15be9*C56</f>
        <v/>
      </c>
      <c r="E56" s="5">
        <f>D56*_z3oe3u</f>
        <v/>
      </c>
      <c r="F56" s="5">
        <f>D56-E56</f>
        <v/>
      </c>
      <c r="G56" s="5">
        <f>E56*_z1b5au+F56*_zs0ztd</f>
        <v/>
      </c>
      <c r="H56" s="5">
        <f>G56/(1+_zbkm1b)</f>
        <v/>
      </c>
      <c r="I56" s="5">
        <f>G56-H56</f>
        <v/>
      </c>
      <c r="J56" s="5">
        <f>IF(AND(B56,A56=_z9dcjh),_zyev25*100*_zejl2g,0)</f>
        <v/>
      </c>
      <c r="K56" s="5">
        <f>IF(B56,_zyev25*_zbhogy+_z6ga35*_zj6im6+_zyev25*100*_zm3b2j+_z9dtod+J56,0)</f>
        <v/>
      </c>
      <c r="L56" s="5">
        <f>H56-K56</f>
        <v/>
      </c>
      <c r="M56" s="5">
        <f>IF(AND(B56,A56&lt;=_zk7d33),_zxo0o2/_zk7d33,0)</f>
        <v/>
      </c>
      <c r="N56" s="5">
        <f>Q55</f>
        <v/>
      </c>
      <c r="O56" s="5">
        <f>IF(AND(B56,A56&lt;=_z2al7i),N56*_zz5rij,0)</f>
        <v/>
      </c>
      <c r="P56" s="5">
        <f>IF(AND(B56,A56&lt;=_z2al7i),_zgsfrl-O56,0)</f>
        <v/>
      </c>
      <c r="Q56" s="5">
        <f>N56-P56</f>
        <v/>
      </c>
      <c r="R56" s="5">
        <f>T55+J56*_z3dr73</f>
        <v/>
      </c>
      <c r="S56" s="5">
        <f>MAX(0,I56-R56)</f>
        <v/>
      </c>
      <c r="T56" s="5">
        <f>MAX(0,R56-I56)</f>
        <v/>
      </c>
      <c r="U56" s="5">
        <f>I56-S56</f>
        <v/>
      </c>
      <c r="V56" s="5">
        <f>S56*_zs8hzv</f>
        <v/>
      </c>
      <c r="W56" s="5">
        <f>IF(B56,L56-M56-O56-V56,0)</f>
        <v/>
      </c>
      <c r="X56" s="5">
        <f>IF(_z6gsqn="是",IF(A56&lt;=3,0,IF(A56&lt;=6,0.5,1)),1)</f>
        <v/>
      </c>
      <c r="Y56" s="5">
        <f>IF(B56,W56+O56,0)</f>
        <v/>
      </c>
      <c r="Z56" s="5">
        <f>MAX(0,-Y55)</f>
        <v/>
      </c>
      <c r="AA56" s="5">
        <f>MIN(Z55,MAX(0,(AD55+AC55+AB55+AA55+Z55)-AE55))</f>
        <v/>
      </c>
      <c r="AB56" s="5">
        <f>MIN(AA55,MAX(0,(AD55+AC55+AB55+AA55)-AE55))</f>
        <v/>
      </c>
      <c r="AC56" s="5">
        <f>MIN(AB55,MAX(0,(AD55+AC55+AB55)-AE55))</f>
        <v/>
      </c>
      <c r="AD56" s="5">
        <f>MIN(AC55,MAX(0,(AD55+AC55)-AE55))</f>
        <v/>
      </c>
      <c r="AE56" s="5">
        <f>MIN(MAX(Y56,0),Z56+AA56+AB56+AC56+AD56)</f>
        <v/>
      </c>
      <c r="AF56" s="5">
        <f>MAX(Y56,0)-AE56</f>
        <v/>
      </c>
      <c r="AG56" s="5">
        <f>AF56*_z3cyv7*X56</f>
        <v/>
      </c>
      <c r="AH56" s="5">
        <f>MAX(0,-W55)</f>
        <v/>
      </c>
      <c r="AI56" s="5">
        <f>MIN(AH55,MAX(0,(AL55+AK55+AJ55+AI55+AH55)-AM55))</f>
        <v/>
      </c>
      <c r="AJ56" s="5">
        <f>MIN(AI55,MAX(0,(AL55+AK55+AJ55+AI55)-AM55))</f>
        <v/>
      </c>
      <c r="AK56" s="5">
        <f>MIN(AJ55,MAX(0,(AL55+AK55+AJ55)-AM55))</f>
        <v/>
      </c>
      <c r="AL56" s="5">
        <f>MIN(AK55,MAX(0,(AL55+AK55)-AM55))</f>
        <v/>
      </c>
      <c r="AM56" s="5">
        <f>MIN(MAX(W56,0),AH56+AI56+AJ56+AK56+AL56)</f>
        <v/>
      </c>
      <c r="AN56" s="5">
        <f>MAX(W56,0)-AM56</f>
        <v/>
      </c>
      <c r="AO56" s="5">
        <f>AN56*_z3cyv7*X56</f>
        <v/>
      </c>
      <c r="AP56" s="5">
        <f>IF(A56=_zx5hja,_zk1wd3,0)</f>
        <v/>
      </c>
      <c r="AQ56" s="5">
        <f>IF(AND(A56=_zx5hja,_z2al7i&gt;_zx5hja),Q56,0)</f>
        <v/>
      </c>
      <c r="AR56" s="5">
        <f>IF(B56,L56-V56+U56+AP56,0)</f>
        <v/>
      </c>
      <c r="AS56" s="5">
        <f>AR56-AG56</f>
        <v/>
      </c>
      <c r="AT56" s="5">
        <f>IF(B56,W56-AO56+M56-P56+U56+AP56-AQ56,0)</f>
        <v/>
      </c>
      <c r="AU56" s="5">
        <f>AU55+AS56</f>
        <v/>
      </c>
      <c r="AV56" s="5">
        <f>IF(AND(AU55&lt;0,AU56&gt;=0,AS56&gt;0),1,0)</f>
        <v/>
      </c>
      <c r="AW56" s="5">
        <f>K56</f>
        <v/>
      </c>
      <c r="AX56" s="5">
        <f>IF(AR56=0,AX55,SIGN(AR56))</f>
        <v/>
      </c>
      <c r="AY56" s="5">
        <f>AY55+IF(OR(AR56=0,AX55=0),0,IF(SIGN(AR56)&lt;&gt;AX55,1,0))</f>
        <v/>
      </c>
      <c r="AZ56" s="5">
        <f>IF(AS56=0,AZ55,SIGN(AS56))</f>
        <v/>
      </c>
      <c r="BA56" s="5">
        <f>BA55+IF(OR(AS56=0,AZ55=0),0,IF(SIGN(AS56)&lt;&gt;AZ55,1,0))</f>
        <v/>
      </c>
      <c r="BB56" s="5">
        <f>IF(AT56=0,BB55,SIGN(AT56))</f>
        <v/>
      </c>
      <c r="BC56" s="5">
        <f>BC55+IF(OR(AT56=0,BB55=0),0,IF(SIGN(AT56)&lt;&gt;BB55,1,0))</f>
        <v/>
      </c>
    </row>
    <row r="57">
      <c r="A57" s="5" t="n">
        <v>16</v>
      </c>
      <c r="B57" s="5">
        <f>AND(A57&gt;=1,A57&lt;=_zx5hja)</f>
        <v/>
      </c>
      <c r="C57" s="5">
        <f>IF(B57,(1-_z4s9pf)^(A57-1),0)</f>
        <v/>
      </c>
      <c r="D57" s="5">
        <f>_z15be9*C57</f>
        <v/>
      </c>
      <c r="E57" s="5">
        <f>D57*_z3oe3u</f>
        <v/>
      </c>
      <c r="F57" s="5">
        <f>D57-E57</f>
        <v/>
      </c>
      <c r="G57" s="5">
        <f>E57*_z1b5au+F57*_zs0ztd</f>
        <v/>
      </c>
      <c r="H57" s="5">
        <f>G57/(1+_zbkm1b)</f>
        <v/>
      </c>
      <c r="I57" s="5">
        <f>G57-H57</f>
        <v/>
      </c>
      <c r="J57" s="5">
        <f>IF(AND(B57,A57=_z9dcjh),_zyev25*100*_zejl2g,0)</f>
        <v/>
      </c>
      <c r="K57" s="5">
        <f>IF(B57,_zyev25*_zbhogy+_z6ga35*_zj6im6+_zyev25*100*_zm3b2j+_z9dtod+J57,0)</f>
        <v/>
      </c>
      <c r="L57" s="5">
        <f>H57-K57</f>
        <v/>
      </c>
      <c r="M57" s="5">
        <f>IF(AND(B57,A57&lt;=_zk7d33),_zxo0o2/_zk7d33,0)</f>
        <v/>
      </c>
      <c r="N57" s="5">
        <f>Q56</f>
        <v/>
      </c>
      <c r="O57" s="5">
        <f>IF(AND(B57,A57&lt;=_z2al7i),N57*_zz5rij,0)</f>
        <v/>
      </c>
      <c r="P57" s="5">
        <f>IF(AND(B57,A57&lt;=_z2al7i),_zgsfrl-O57,0)</f>
        <v/>
      </c>
      <c r="Q57" s="5">
        <f>N57-P57</f>
        <v/>
      </c>
      <c r="R57" s="5">
        <f>T56+J57*_z3dr73</f>
        <v/>
      </c>
      <c r="S57" s="5">
        <f>MAX(0,I57-R57)</f>
        <v/>
      </c>
      <c r="T57" s="5">
        <f>MAX(0,R57-I57)</f>
        <v/>
      </c>
      <c r="U57" s="5">
        <f>I57-S57</f>
        <v/>
      </c>
      <c r="V57" s="5">
        <f>S57*_zs8hzv</f>
        <v/>
      </c>
      <c r="W57" s="5">
        <f>IF(B57,L57-M57-O57-V57,0)</f>
        <v/>
      </c>
      <c r="X57" s="5">
        <f>IF(_z6gsqn="是",IF(A57&lt;=3,0,IF(A57&lt;=6,0.5,1)),1)</f>
        <v/>
      </c>
      <c r="Y57" s="5">
        <f>IF(B57,W57+O57,0)</f>
        <v/>
      </c>
      <c r="Z57" s="5">
        <f>MAX(0,-Y56)</f>
        <v/>
      </c>
      <c r="AA57" s="5">
        <f>MIN(Z56,MAX(0,(AD56+AC56+AB56+AA56+Z56)-AE56))</f>
        <v/>
      </c>
      <c r="AB57" s="5">
        <f>MIN(AA56,MAX(0,(AD56+AC56+AB56+AA56)-AE56))</f>
        <v/>
      </c>
      <c r="AC57" s="5">
        <f>MIN(AB56,MAX(0,(AD56+AC56+AB56)-AE56))</f>
        <v/>
      </c>
      <c r="AD57" s="5">
        <f>MIN(AC56,MAX(0,(AD56+AC56)-AE56))</f>
        <v/>
      </c>
      <c r="AE57" s="5">
        <f>MIN(MAX(Y57,0),Z57+AA57+AB57+AC57+AD57)</f>
        <v/>
      </c>
      <c r="AF57" s="5">
        <f>MAX(Y57,0)-AE57</f>
        <v/>
      </c>
      <c r="AG57" s="5">
        <f>AF57*_z3cyv7*X57</f>
        <v/>
      </c>
      <c r="AH57" s="5">
        <f>MAX(0,-W56)</f>
        <v/>
      </c>
      <c r="AI57" s="5">
        <f>MIN(AH56,MAX(0,(AL56+AK56+AJ56+AI56+AH56)-AM56))</f>
        <v/>
      </c>
      <c r="AJ57" s="5">
        <f>MIN(AI56,MAX(0,(AL56+AK56+AJ56+AI56)-AM56))</f>
        <v/>
      </c>
      <c r="AK57" s="5">
        <f>MIN(AJ56,MAX(0,(AL56+AK56+AJ56)-AM56))</f>
        <v/>
      </c>
      <c r="AL57" s="5">
        <f>MIN(AK56,MAX(0,(AL56+AK56)-AM56))</f>
        <v/>
      </c>
      <c r="AM57" s="5">
        <f>MIN(MAX(W57,0),AH57+AI57+AJ57+AK57+AL57)</f>
        <v/>
      </c>
      <c r="AN57" s="5">
        <f>MAX(W57,0)-AM57</f>
        <v/>
      </c>
      <c r="AO57" s="5">
        <f>AN57*_z3cyv7*X57</f>
        <v/>
      </c>
      <c r="AP57" s="5">
        <f>IF(A57=_zx5hja,_zk1wd3,0)</f>
        <v/>
      </c>
      <c r="AQ57" s="5">
        <f>IF(AND(A57=_zx5hja,_z2al7i&gt;_zx5hja),Q57,0)</f>
        <v/>
      </c>
      <c r="AR57" s="5">
        <f>IF(B57,L57-V57+U57+AP57,0)</f>
        <v/>
      </c>
      <c r="AS57" s="5">
        <f>AR57-AG57</f>
        <v/>
      </c>
      <c r="AT57" s="5">
        <f>IF(B57,W57-AO57+M57-P57+U57+AP57-AQ57,0)</f>
        <v/>
      </c>
      <c r="AU57" s="5">
        <f>AU56+AS57</f>
        <v/>
      </c>
      <c r="AV57" s="5">
        <f>IF(AND(AU56&lt;0,AU57&gt;=0,AS57&gt;0),1,0)</f>
        <v/>
      </c>
      <c r="AW57" s="5">
        <f>K57</f>
        <v/>
      </c>
      <c r="AX57" s="5">
        <f>IF(AR57=0,AX56,SIGN(AR57))</f>
        <v/>
      </c>
      <c r="AY57" s="5">
        <f>AY56+IF(OR(AR57=0,AX56=0),0,IF(SIGN(AR57)&lt;&gt;AX56,1,0))</f>
        <v/>
      </c>
      <c r="AZ57" s="5">
        <f>IF(AS57=0,AZ56,SIGN(AS57))</f>
        <v/>
      </c>
      <c r="BA57" s="5">
        <f>BA56+IF(OR(AS57=0,AZ56=0),0,IF(SIGN(AS57)&lt;&gt;AZ56,1,0))</f>
        <v/>
      </c>
      <c r="BB57" s="5">
        <f>IF(AT57=0,BB56,SIGN(AT57))</f>
        <v/>
      </c>
      <c r="BC57" s="5">
        <f>BC56+IF(OR(AT57=0,BB56=0),0,IF(SIGN(AT57)&lt;&gt;BB56,1,0))</f>
        <v/>
      </c>
    </row>
    <row r="58">
      <c r="A58" s="5" t="n">
        <v>17</v>
      </c>
      <c r="B58" s="5">
        <f>AND(A58&gt;=1,A58&lt;=_zx5hja)</f>
        <v/>
      </c>
      <c r="C58" s="5">
        <f>IF(B58,(1-_z4s9pf)^(A58-1),0)</f>
        <v/>
      </c>
      <c r="D58" s="5">
        <f>_z15be9*C58</f>
        <v/>
      </c>
      <c r="E58" s="5">
        <f>D58*_z3oe3u</f>
        <v/>
      </c>
      <c r="F58" s="5">
        <f>D58-E58</f>
        <v/>
      </c>
      <c r="G58" s="5">
        <f>E58*_z1b5au+F58*_zs0ztd</f>
        <v/>
      </c>
      <c r="H58" s="5">
        <f>G58/(1+_zbkm1b)</f>
        <v/>
      </c>
      <c r="I58" s="5">
        <f>G58-H58</f>
        <v/>
      </c>
      <c r="J58" s="5">
        <f>IF(AND(B58,A58=_z9dcjh),_zyev25*100*_zejl2g,0)</f>
        <v/>
      </c>
      <c r="K58" s="5">
        <f>IF(B58,_zyev25*_zbhogy+_z6ga35*_zj6im6+_zyev25*100*_zm3b2j+_z9dtod+J58,0)</f>
        <v/>
      </c>
      <c r="L58" s="5">
        <f>H58-K58</f>
        <v/>
      </c>
      <c r="M58" s="5">
        <f>IF(AND(B58,A58&lt;=_zk7d33),_zxo0o2/_zk7d33,0)</f>
        <v/>
      </c>
      <c r="N58" s="5">
        <f>Q57</f>
        <v/>
      </c>
      <c r="O58" s="5">
        <f>IF(AND(B58,A58&lt;=_z2al7i),N58*_zz5rij,0)</f>
        <v/>
      </c>
      <c r="P58" s="5">
        <f>IF(AND(B58,A58&lt;=_z2al7i),_zgsfrl-O58,0)</f>
        <v/>
      </c>
      <c r="Q58" s="5">
        <f>N58-P58</f>
        <v/>
      </c>
      <c r="R58" s="5">
        <f>T57+J58*_z3dr73</f>
        <v/>
      </c>
      <c r="S58" s="5">
        <f>MAX(0,I58-R58)</f>
        <v/>
      </c>
      <c r="T58" s="5">
        <f>MAX(0,R58-I58)</f>
        <v/>
      </c>
      <c r="U58" s="5">
        <f>I58-S58</f>
        <v/>
      </c>
      <c r="V58" s="5">
        <f>S58*_zs8hzv</f>
        <v/>
      </c>
      <c r="W58" s="5">
        <f>IF(B58,L58-M58-O58-V58,0)</f>
        <v/>
      </c>
      <c r="X58" s="5">
        <f>IF(_z6gsqn="是",IF(A58&lt;=3,0,IF(A58&lt;=6,0.5,1)),1)</f>
        <v/>
      </c>
      <c r="Y58" s="5">
        <f>IF(B58,W58+O58,0)</f>
        <v/>
      </c>
      <c r="Z58" s="5">
        <f>MAX(0,-Y57)</f>
        <v/>
      </c>
      <c r="AA58" s="5">
        <f>MIN(Z57,MAX(0,(AD57+AC57+AB57+AA57+Z57)-AE57))</f>
        <v/>
      </c>
      <c r="AB58" s="5">
        <f>MIN(AA57,MAX(0,(AD57+AC57+AB57+AA57)-AE57))</f>
        <v/>
      </c>
      <c r="AC58" s="5">
        <f>MIN(AB57,MAX(0,(AD57+AC57+AB57)-AE57))</f>
        <v/>
      </c>
      <c r="AD58" s="5">
        <f>MIN(AC57,MAX(0,(AD57+AC57)-AE57))</f>
        <v/>
      </c>
      <c r="AE58" s="5">
        <f>MIN(MAX(Y58,0),Z58+AA58+AB58+AC58+AD58)</f>
        <v/>
      </c>
      <c r="AF58" s="5">
        <f>MAX(Y58,0)-AE58</f>
        <v/>
      </c>
      <c r="AG58" s="5">
        <f>AF58*_z3cyv7*X58</f>
        <v/>
      </c>
      <c r="AH58" s="5">
        <f>MAX(0,-W57)</f>
        <v/>
      </c>
      <c r="AI58" s="5">
        <f>MIN(AH57,MAX(0,(AL57+AK57+AJ57+AI57+AH57)-AM57))</f>
        <v/>
      </c>
      <c r="AJ58" s="5">
        <f>MIN(AI57,MAX(0,(AL57+AK57+AJ57+AI57)-AM57))</f>
        <v/>
      </c>
      <c r="AK58" s="5">
        <f>MIN(AJ57,MAX(0,(AL57+AK57+AJ57)-AM57))</f>
        <v/>
      </c>
      <c r="AL58" s="5">
        <f>MIN(AK57,MAX(0,(AL57+AK57)-AM57))</f>
        <v/>
      </c>
      <c r="AM58" s="5">
        <f>MIN(MAX(W58,0),AH58+AI58+AJ58+AK58+AL58)</f>
        <v/>
      </c>
      <c r="AN58" s="5">
        <f>MAX(W58,0)-AM58</f>
        <v/>
      </c>
      <c r="AO58" s="5">
        <f>AN58*_z3cyv7*X58</f>
        <v/>
      </c>
      <c r="AP58" s="5">
        <f>IF(A58=_zx5hja,_zk1wd3,0)</f>
        <v/>
      </c>
      <c r="AQ58" s="5">
        <f>IF(AND(A58=_zx5hja,_z2al7i&gt;_zx5hja),Q58,0)</f>
        <v/>
      </c>
      <c r="AR58" s="5">
        <f>IF(B58,L58-V58+U58+AP58,0)</f>
        <v/>
      </c>
      <c r="AS58" s="5">
        <f>AR58-AG58</f>
        <v/>
      </c>
      <c r="AT58" s="5">
        <f>IF(B58,W58-AO58+M58-P58+U58+AP58-AQ58,0)</f>
        <v/>
      </c>
      <c r="AU58" s="5">
        <f>AU57+AS58</f>
        <v/>
      </c>
      <c r="AV58" s="5">
        <f>IF(AND(AU57&lt;0,AU58&gt;=0,AS58&gt;0),1,0)</f>
        <v/>
      </c>
      <c r="AW58" s="5">
        <f>K58</f>
        <v/>
      </c>
      <c r="AX58" s="5">
        <f>IF(AR58=0,AX57,SIGN(AR58))</f>
        <v/>
      </c>
      <c r="AY58" s="5">
        <f>AY57+IF(OR(AR58=0,AX57=0),0,IF(SIGN(AR58)&lt;&gt;AX57,1,0))</f>
        <v/>
      </c>
      <c r="AZ58" s="5">
        <f>IF(AS58=0,AZ57,SIGN(AS58))</f>
        <v/>
      </c>
      <c r="BA58" s="5">
        <f>BA57+IF(OR(AS58=0,AZ57=0),0,IF(SIGN(AS58)&lt;&gt;AZ57,1,0))</f>
        <v/>
      </c>
      <c r="BB58" s="5">
        <f>IF(AT58=0,BB57,SIGN(AT58))</f>
        <v/>
      </c>
      <c r="BC58" s="5">
        <f>BC57+IF(OR(AT58=0,BB57=0),0,IF(SIGN(AT58)&lt;&gt;BB57,1,0))</f>
        <v/>
      </c>
    </row>
    <row r="59">
      <c r="A59" s="5" t="n">
        <v>18</v>
      </c>
      <c r="B59" s="5">
        <f>AND(A59&gt;=1,A59&lt;=_zx5hja)</f>
        <v/>
      </c>
      <c r="C59" s="5">
        <f>IF(B59,(1-_z4s9pf)^(A59-1),0)</f>
        <v/>
      </c>
      <c r="D59" s="5">
        <f>_z15be9*C59</f>
        <v/>
      </c>
      <c r="E59" s="5">
        <f>D59*_z3oe3u</f>
        <v/>
      </c>
      <c r="F59" s="5">
        <f>D59-E59</f>
        <v/>
      </c>
      <c r="G59" s="5">
        <f>E59*_z1b5au+F59*_zs0ztd</f>
        <v/>
      </c>
      <c r="H59" s="5">
        <f>G59/(1+_zbkm1b)</f>
        <v/>
      </c>
      <c r="I59" s="5">
        <f>G59-H59</f>
        <v/>
      </c>
      <c r="J59" s="5">
        <f>IF(AND(B59,A59=_z9dcjh),_zyev25*100*_zejl2g,0)</f>
        <v/>
      </c>
      <c r="K59" s="5">
        <f>IF(B59,_zyev25*_zbhogy+_z6ga35*_zj6im6+_zyev25*100*_zm3b2j+_z9dtod+J59,0)</f>
        <v/>
      </c>
      <c r="L59" s="5">
        <f>H59-K59</f>
        <v/>
      </c>
      <c r="M59" s="5">
        <f>IF(AND(B59,A59&lt;=_zk7d33),_zxo0o2/_zk7d33,0)</f>
        <v/>
      </c>
      <c r="N59" s="5">
        <f>Q58</f>
        <v/>
      </c>
      <c r="O59" s="5">
        <f>IF(AND(B59,A59&lt;=_z2al7i),N59*_zz5rij,0)</f>
        <v/>
      </c>
      <c r="P59" s="5">
        <f>IF(AND(B59,A59&lt;=_z2al7i),_zgsfrl-O59,0)</f>
        <v/>
      </c>
      <c r="Q59" s="5">
        <f>N59-P59</f>
        <v/>
      </c>
      <c r="R59" s="5">
        <f>T58+J59*_z3dr73</f>
        <v/>
      </c>
      <c r="S59" s="5">
        <f>MAX(0,I59-R59)</f>
        <v/>
      </c>
      <c r="T59" s="5">
        <f>MAX(0,R59-I59)</f>
        <v/>
      </c>
      <c r="U59" s="5">
        <f>I59-S59</f>
        <v/>
      </c>
      <c r="V59" s="5">
        <f>S59*_zs8hzv</f>
        <v/>
      </c>
      <c r="W59" s="5">
        <f>IF(B59,L59-M59-O59-V59,0)</f>
        <v/>
      </c>
      <c r="X59" s="5">
        <f>IF(_z6gsqn="是",IF(A59&lt;=3,0,IF(A59&lt;=6,0.5,1)),1)</f>
        <v/>
      </c>
      <c r="Y59" s="5">
        <f>IF(B59,W59+O59,0)</f>
        <v/>
      </c>
      <c r="Z59" s="5">
        <f>MAX(0,-Y58)</f>
        <v/>
      </c>
      <c r="AA59" s="5">
        <f>MIN(Z58,MAX(0,(AD58+AC58+AB58+AA58+Z58)-AE58))</f>
        <v/>
      </c>
      <c r="AB59" s="5">
        <f>MIN(AA58,MAX(0,(AD58+AC58+AB58+AA58)-AE58))</f>
        <v/>
      </c>
      <c r="AC59" s="5">
        <f>MIN(AB58,MAX(0,(AD58+AC58+AB58)-AE58))</f>
        <v/>
      </c>
      <c r="AD59" s="5">
        <f>MIN(AC58,MAX(0,(AD58+AC58)-AE58))</f>
        <v/>
      </c>
      <c r="AE59" s="5">
        <f>MIN(MAX(Y59,0),Z59+AA59+AB59+AC59+AD59)</f>
        <v/>
      </c>
      <c r="AF59" s="5">
        <f>MAX(Y59,0)-AE59</f>
        <v/>
      </c>
      <c r="AG59" s="5">
        <f>AF59*_z3cyv7*X59</f>
        <v/>
      </c>
      <c r="AH59" s="5">
        <f>MAX(0,-W58)</f>
        <v/>
      </c>
      <c r="AI59" s="5">
        <f>MIN(AH58,MAX(0,(AL58+AK58+AJ58+AI58+AH58)-AM58))</f>
        <v/>
      </c>
      <c r="AJ59" s="5">
        <f>MIN(AI58,MAX(0,(AL58+AK58+AJ58+AI58)-AM58))</f>
        <v/>
      </c>
      <c r="AK59" s="5">
        <f>MIN(AJ58,MAX(0,(AL58+AK58+AJ58)-AM58))</f>
        <v/>
      </c>
      <c r="AL59" s="5">
        <f>MIN(AK58,MAX(0,(AL58+AK58)-AM58))</f>
        <v/>
      </c>
      <c r="AM59" s="5">
        <f>MIN(MAX(W59,0),AH59+AI59+AJ59+AK59+AL59)</f>
        <v/>
      </c>
      <c r="AN59" s="5">
        <f>MAX(W59,0)-AM59</f>
        <v/>
      </c>
      <c r="AO59" s="5">
        <f>AN59*_z3cyv7*X59</f>
        <v/>
      </c>
      <c r="AP59" s="5">
        <f>IF(A59=_zx5hja,_zk1wd3,0)</f>
        <v/>
      </c>
      <c r="AQ59" s="5">
        <f>IF(AND(A59=_zx5hja,_z2al7i&gt;_zx5hja),Q59,0)</f>
        <v/>
      </c>
      <c r="AR59" s="5">
        <f>IF(B59,L59-V59+U59+AP59,0)</f>
        <v/>
      </c>
      <c r="AS59" s="5">
        <f>AR59-AG59</f>
        <v/>
      </c>
      <c r="AT59" s="5">
        <f>IF(B59,W59-AO59+M59-P59+U59+AP59-AQ59,0)</f>
        <v/>
      </c>
      <c r="AU59" s="5">
        <f>AU58+AS59</f>
        <v/>
      </c>
      <c r="AV59" s="5">
        <f>IF(AND(AU58&lt;0,AU59&gt;=0,AS59&gt;0),1,0)</f>
        <v/>
      </c>
      <c r="AW59" s="5">
        <f>K59</f>
        <v/>
      </c>
      <c r="AX59" s="5">
        <f>IF(AR59=0,AX58,SIGN(AR59))</f>
        <v/>
      </c>
      <c r="AY59" s="5">
        <f>AY58+IF(OR(AR59=0,AX58=0),0,IF(SIGN(AR59)&lt;&gt;AX58,1,0))</f>
        <v/>
      </c>
      <c r="AZ59" s="5">
        <f>IF(AS59=0,AZ58,SIGN(AS59))</f>
        <v/>
      </c>
      <c r="BA59" s="5">
        <f>BA58+IF(OR(AS59=0,AZ58=0),0,IF(SIGN(AS59)&lt;&gt;AZ58,1,0))</f>
        <v/>
      </c>
      <c r="BB59" s="5">
        <f>IF(AT59=0,BB58,SIGN(AT59))</f>
        <v/>
      </c>
      <c r="BC59" s="5">
        <f>BC58+IF(OR(AT59=0,BB58=0),0,IF(SIGN(AT59)&lt;&gt;BB58,1,0))</f>
        <v/>
      </c>
    </row>
    <row r="60">
      <c r="A60" s="5" t="n">
        <v>19</v>
      </c>
      <c r="B60" s="5">
        <f>AND(A60&gt;=1,A60&lt;=_zx5hja)</f>
        <v/>
      </c>
      <c r="C60" s="5">
        <f>IF(B60,(1-_z4s9pf)^(A60-1),0)</f>
        <v/>
      </c>
      <c r="D60" s="5">
        <f>_z15be9*C60</f>
        <v/>
      </c>
      <c r="E60" s="5">
        <f>D60*_z3oe3u</f>
        <v/>
      </c>
      <c r="F60" s="5">
        <f>D60-E60</f>
        <v/>
      </c>
      <c r="G60" s="5">
        <f>E60*_z1b5au+F60*_zs0ztd</f>
        <v/>
      </c>
      <c r="H60" s="5">
        <f>G60/(1+_zbkm1b)</f>
        <v/>
      </c>
      <c r="I60" s="5">
        <f>G60-H60</f>
        <v/>
      </c>
      <c r="J60" s="5">
        <f>IF(AND(B60,A60=_z9dcjh),_zyev25*100*_zejl2g,0)</f>
        <v/>
      </c>
      <c r="K60" s="5">
        <f>IF(B60,_zyev25*_zbhogy+_z6ga35*_zj6im6+_zyev25*100*_zm3b2j+_z9dtod+J60,0)</f>
        <v/>
      </c>
      <c r="L60" s="5">
        <f>H60-K60</f>
        <v/>
      </c>
      <c r="M60" s="5">
        <f>IF(AND(B60,A60&lt;=_zk7d33),_zxo0o2/_zk7d33,0)</f>
        <v/>
      </c>
      <c r="N60" s="5">
        <f>Q59</f>
        <v/>
      </c>
      <c r="O60" s="5">
        <f>IF(AND(B60,A60&lt;=_z2al7i),N60*_zz5rij,0)</f>
        <v/>
      </c>
      <c r="P60" s="5">
        <f>IF(AND(B60,A60&lt;=_z2al7i),_zgsfrl-O60,0)</f>
        <v/>
      </c>
      <c r="Q60" s="5">
        <f>N60-P60</f>
        <v/>
      </c>
      <c r="R60" s="5">
        <f>T59+J60*_z3dr73</f>
        <v/>
      </c>
      <c r="S60" s="5">
        <f>MAX(0,I60-R60)</f>
        <v/>
      </c>
      <c r="T60" s="5">
        <f>MAX(0,R60-I60)</f>
        <v/>
      </c>
      <c r="U60" s="5">
        <f>I60-S60</f>
        <v/>
      </c>
      <c r="V60" s="5">
        <f>S60*_zs8hzv</f>
        <v/>
      </c>
      <c r="W60" s="5">
        <f>IF(B60,L60-M60-O60-V60,0)</f>
        <v/>
      </c>
      <c r="X60" s="5">
        <f>IF(_z6gsqn="是",IF(A60&lt;=3,0,IF(A60&lt;=6,0.5,1)),1)</f>
        <v/>
      </c>
      <c r="Y60" s="5">
        <f>IF(B60,W60+O60,0)</f>
        <v/>
      </c>
      <c r="Z60" s="5">
        <f>MAX(0,-Y59)</f>
        <v/>
      </c>
      <c r="AA60" s="5">
        <f>MIN(Z59,MAX(0,(AD59+AC59+AB59+AA59+Z59)-AE59))</f>
        <v/>
      </c>
      <c r="AB60" s="5">
        <f>MIN(AA59,MAX(0,(AD59+AC59+AB59+AA59)-AE59))</f>
        <v/>
      </c>
      <c r="AC60" s="5">
        <f>MIN(AB59,MAX(0,(AD59+AC59+AB59)-AE59))</f>
        <v/>
      </c>
      <c r="AD60" s="5">
        <f>MIN(AC59,MAX(0,(AD59+AC59)-AE59))</f>
        <v/>
      </c>
      <c r="AE60" s="5">
        <f>MIN(MAX(Y60,0),Z60+AA60+AB60+AC60+AD60)</f>
        <v/>
      </c>
      <c r="AF60" s="5">
        <f>MAX(Y60,0)-AE60</f>
        <v/>
      </c>
      <c r="AG60" s="5">
        <f>AF60*_z3cyv7*X60</f>
        <v/>
      </c>
      <c r="AH60" s="5">
        <f>MAX(0,-W59)</f>
        <v/>
      </c>
      <c r="AI60" s="5">
        <f>MIN(AH59,MAX(0,(AL59+AK59+AJ59+AI59+AH59)-AM59))</f>
        <v/>
      </c>
      <c r="AJ60" s="5">
        <f>MIN(AI59,MAX(0,(AL59+AK59+AJ59+AI59)-AM59))</f>
        <v/>
      </c>
      <c r="AK60" s="5">
        <f>MIN(AJ59,MAX(0,(AL59+AK59+AJ59)-AM59))</f>
        <v/>
      </c>
      <c r="AL60" s="5">
        <f>MIN(AK59,MAX(0,(AL59+AK59)-AM59))</f>
        <v/>
      </c>
      <c r="AM60" s="5">
        <f>MIN(MAX(W60,0),AH60+AI60+AJ60+AK60+AL60)</f>
        <v/>
      </c>
      <c r="AN60" s="5">
        <f>MAX(W60,0)-AM60</f>
        <v/>
      </c>
      <c r="AO60" s="5">
        <f>AN60*_z3cyv7*X60</f>
        <v/>
      </c>
      <c r="AP60" s="5">
        <f>IF(A60=_zx5hja,_zk1wd3,0)</f>
        <v/>
      </c>
      <c r="AQ60" s="5">
        <f>IF(AND(A60=_zx5hja,_z2al7i&gt;_zx5hja),Q60,0)</f>
        <v/>
      </c>
      <c r="AR60" s="5">
        <f>IF(B60,L60-V60+U60+AP60,0)</f>
        <v/>
      </c>
      <c r="AS60" s="5">
        <f>AR60-AG60</f>
        <v/>
      </c>
      <c r="AT60" s="5">
        <f>IF(B60,W60-AO60+M60-P60+U60+AP60-AQ60,0)</f>
        <v/>
      </c>
      <c r="AU60" s="5">
        <f>AU59+AS60</f>
        <v/>
      </c>
      <c r="AV60" s="5">
        <f>IF(AND(AU59&lt;0,AU60&gt;=0,AS60&gt;0),1,0)</f>
        <v/>
      </c>
      <c r="AW60" s="5">
        <f>K60</f>
        <v/>
      </c>
      <c r="AX60" s="5">
        <f>IF(AR60=0,AX59,SIGN(AR60))</f>
        <v/>
      </c>
      <c r="AY60" s="5">
        <f>AY59+IF(OR(AR60=0,AX59=0),0,IF(SIGN(AR60)&lt;&gt;AX59,1,0))</f>
        <v/>
      </c>
      <c r="AZ60" s="5">
        <f>IF(AS60=0,AZ59,SIGN(AS60))</f>
        <v/>
      </c>
      <c r="BA60" s="5">
        <f>BA59+IF(OR(AS60=0,AZ59=0),0,IF(SIGN(AS60)&lt;&gt;AZ59,1,0))</f>
        <v/>
      </c>
      <c r="BB60" s="5">
        <f>IF(AT60=0,BB59,SIGN(AT60))</f>
        <v/>
      </c>
      <c r="BC60" s="5">
        <f>BC59+IF(OR(AT60=0,BB59=0),0,IF(SIGN(AT60)&lt;&gt;BB59,1,0))</f>
        <v/>
      </c>
    </row>
    <row r="61">
      <c r="A61" s="5" t="n">
        <v>20</v>
      </c>
      <c r="B61" s="5">
        <f>AND(A61&gt;=1,A61&lt;=_zx5hja)</f>
        <v/>
      </c>
      <c r="C61" s="5">
        <f>IF(B61,(1-_z4s9pf)^(A61-1),0)</f>
        <v/>
      </c>
      <c r="D61" s="5">
        <f>_z15be9*C61</f>
        <v/>
      </c>
      <c r="E61" s="5">
        <f>D61*_z3oe3u</f>
        <v/>
      </c>
      <c r="F61" s="5">
        <f>D61-E61</f>
        <v/>
      </c>
      <c r="G61" s="5">
        <f>E61*_z1b5au+F61*_zs0ztd</f>
        <v/>
      </c>
      <c r="H61" s="5">
        <f>G61/(1+_zbkm1b)</f>
        <v/>
      </c>
      <c r="I61" s="5">
        <f>G61-H61</f>
        <v/>
      </c>
      <c r="J61" s="5">
        <f>IF(AND(B61,A61=_z9dcjh),_zyev25*100*_zejl2g,0)</f>
        <v/>
      </c>
      <c r="K61" s="5">
        <f>IF(B61,_zyev25*_zbhogy+_z6ga35*_zj6im6+_zyev25*100*_zm3b2j+_z9dtod+J61,0)</f>
        <v/>
      </c>
      <c r="L61" s="5">
        <f>H61-K61</f>
        <v/>
      </c>
      <c r="M61" s="5">
        <f>IF(AND(B61,A61&lt;=_zk7d33),_zxo0o2/_zk7d33,0)</f>
        <v/>
      </c>
      <c r="N61" s="5">
        <f>Q60</f>
        <v/>
      </c>
      <c r="O61" s="5">
        <f>IF(AND(B61,A61&lt;=_z2al7i),N61*_zz5rij,0)</f>
        <v/>
      </c>
      <c r="P61" s="5">
        <f>IF(AND(B61,A61&lt;=_z2al7i),_zgsfrl-O61,0)</f>
        <v/>
      </c>
      <c r="Q61" s="5">
        <f>N61-P61</f>
        <v/>
      </c>
      <c r="R61" s="5">
        <f>T60+J61*_z3dr73</f>
        <v/>
      </c>
      <c r="S61" s="5">
        <f>MAX(0,I61-R61)</f>
        <v/>
      </c>
      <c r="T61" s="5">
        <f>MAX(0,R61-I61)</f>
        <v/>
      </c>
      <c r="U61" s="5">
        <f>I61-S61</f>
        <v/>
      </c>
      <c r="V61" s="5">
        <f>S61*_zs8hzv</f>
        <v/>
      </c>
      <c r="W61" s="5">
        <f>IF(B61,L61-M61-O61-V61,0)</f>
        <v/>
      </c>
      <c r="X61" s="5">
        <f>IF(_z6gsqn="是",IF(A61&lt;=3,0,IF(A61&lt;=6,0.5,1)),1)</f>
        <v/>
      </c>
      <c r="Y61" s="5">
        <f>IF(B61,W61+O61,0)</f>
        <v/>
      </c>
      <c r="Z61" s="5">
        <f>MAX(0,-Y60)</f>
        <v/>
      </c>
      <c r="AA61" s="5">
        <f>MIN(Z60,MAX(0,(AD60+AC60+AB60+AA60+Z60)-AE60))</f>
        <v/>
      </c>
      <c r="AB61" s="5">
        <f>MIN(AA60,MAX(0,(AD60+AC60+AB60+AA60)-AE60))</f>
        <v/>
      </c>
      <c r="AC61" s="5">
        <f>MIN(AB60,MAX(0,(AD60+AC60+AB60)-AE60))</f>
        <v/>
      </c>
      <c r="AD61" s="5">
        <f>MIN(AC60,MAX(0,(AD60+AC60)-AE60))</f>
        <v/>
      </c>
      <c r="AE61" s="5">
        <f>MIN(MAX(Y61,0),Z61+AA61+AB61+AC61+AD61)</f>
        <v/>
      </c>
      <c r="AF61" s="5">
        <f>MAX(Y61,0)-AE61</f>
        <v/>
      </c>
      <c r="AG61" s="5">
        <f>AF61*_z3cyv7*X61</f>
        <v/>
      </c>
      <c r="AH61" s="5">
        <f>MAX(0,-W60)</f>
        <v/>
      </c>
      <c r="AI61" s="5">
        <f>MIN(AH60,MAX(0,(AL60+AK60+AJ60+AI60+AH60)-AM60))</f>
        <v/>
      </c>
      <c r="AJ61" s="5">
        <f>MIN(AI60,MAX(0,(AL60+AK60+AJ60+AI60)-AM60))</f>
        <v/>
      </c>
      <c r="AK61" s="5">
        <f>MIN(AJ60,MAX(0,(AL60+AK60+AJ60)-AM60))</f>
        <v/>
      </c>
      <c r="AL61" s="5">
        <f>MIN(AK60,MAX(0,(AL60+AK60)-AM60))</f>
        <v/>
      </c>
      <c r="AM61" s="5">
        <f>MIN(MAX(W61,0),AH61+AI61+AJ61+AK61+AL61)</f>
        <v/>
      </c>
      <c r="AN61" s="5">
        <f>MAX(W61,0)-AM61</f>
        <v/>
      </c>
      <c r="AO61" s="5">
        <f>AN61*_z3cyv7*X61</f>
        <v/>
      </c>
      <c r="AP61" s="5">
        <f>IF(A61=_zx5hja,_zk1wd3,0)</f>
        <v/>
      </c>
      <c r="AQ61" s="5">
        <f>IF(AND(A61=_zx5hja,_z2al7i&gt;_zx5hja),Q61,0)</f>
        <v/>
      </c>
      <c r="AR61" s="5">
        <f>IF(B61,L61-V61+U61+AP61,0)</f>
        <v/>
      </c>
      <c r="AS61" s="5">
        <f>AR61-AG61</f>
        <v/>
      </c>
      <c r="AT61" s="5">
        <f>IF(B61,W61-AO61+M61-P61+U61+AP61-AQ61,0)</f>
        <v/>
      </c>
      <c r="AU61" s="5">
        <f>AU60+AS61</f>
        <v/>
      </c>
      <c r="AV61" s="5">
        <f>IF(AND(AU60&lt;0,AU61&gt;=0,AS61&gt;0),1,0)</f>
        <v/>
      </c>
      <c r="AW61" s="5">
        <f>K61</f>
        <v/>
      </c>
      <c r="AX61" s="5">
        <f>IF(AR61=0,AX60,SIGN(AR61))</f>
        <v/>
      </c>
      <c r="AY61" s="5">
        <f>AY60+IF(OR(AR61=0,AX60=0),0,IF(SIGN(AR61)&lt;&gt;AX60,1,0))</f>
        <v/>
      </c>
      <c r="AZ61" s="5">
        <f>IF(AS61=0,AZ60,SIGN(AS61))</f>
        <v/>
      </c>
      <c r="BA61" s="5">
        <f>BA60+IF(OR(AS61=0,AZ60=0),0,IF(SIGN(AS61)&lt;&gt;AZ60,1,0))</f>
        <v/>
      </c>
      <c r="BB61" s="5">
        <f>IF(AT61=0,BB60,SIGN(AT61))</f>
        <v/>
      </c>
      <c r="BC61" s="5">
        <f>BC60+IF(OR(AT61=0,BB60=0),0,IF(SIGN(AT61)&lt;&gt;BB60,1,0))</f>
        <v/>
      </c>
    </row>
    <row r="62">
      <c r="A62" s="5" t="n">
        <v>21</v>
      </c>
      <c r="B62" s="5">
        <f>AND(A62&gt;=1,A62&lt;=_zx5hja)</f>
        <v/>
      </c>
      <c r="C62" s="5">
        <f>IF(B62,(1-_z4s9pf)^(A62-1),0)</f>
        <v/>
      </c>
      <c r="D62" s="5">
        <f>_z15be9*C62</f>
        <v/>
      </c>
      <c r="E62" s="5">
        <f>D62*_z3oe3u</f>
        <v/>
      </c>
      <c r="F62" s="5">
        <f>D62-E62</f>
        <v/>
      </c>
      <c r="G62" s="5">
        <f>E62*_z1b5au+F62*_zs0ztd</f>
        <v/>
      </c>
      <c r="H62" s="5">
        <f>G62/(1+_zbkm1b)</f>
        <v/>
      </c>
      <c r="I62" s="5">
        <f>G62-H62</f>
        <v/>
      </c>
      <c r="J62" s="5">
        <f>IF(AND(B62,A62=_z9dcjh),_zyev25*100*_zejl2g,0)</f>
        <v/>
      </c>
      <c r="K62" s="5">
        <f>IF(B62,_zyev25*_zbhogy+_z6ga35*_zj6im6+_zyev25*100*_zm3b2j+_z9dtod+J62,0)</f>
        <v/>
      </c>
      <c r="L62" s="5">
        <f>H62-K62</f>
        <v/>
      </c>
      <c r="M62" s="5">
        <f>IF(AND(B62,A62&lt;=_zk7d33),_zxo0o2/_zk7d33,0)</f>
        <v/>
      </c>
      <c r="N62" s="5">
        <f>Q61</f>
        <v/>
      </c>
      <c r="O62" s="5">
        <f>IF(AND(B62,A62&lt;=_z2al7i),N62*_zz5rij,0)</f>
        <v/>
      </c>
      <c r="P62" s="5">
        <f>IF(AND(B62,A62&lt;=_z2al7i),_zgsfrl-O62,0)</f>
        <v/>
      </c>
      <c r="Q62" s="5">
        <f>N62-P62</f>
        <v/>
      </c>
      <c r="R62" s="5">
        <f>T61+J62*_z3dr73</f>
        <v/>
      </c>
      <c r="S62" s="5">
        <f>MAX(0,I62-R62)</f>
        <v/>
      </c>
      <c r="T62" s="5">
        <f>MAX(0,R62-I62)</f>
        <v/>
      </c>
      <c r="U62" s="5">
        <f>I62-S62</f>
        <v/>
      </c>
      <c r="V62" s="5">
        <f>S62*_zs8hzv</f>
        <v/>
      </c>
      <c r="W62" s="5">
        <f>IF(B62,L62-M62-O62-V62,0)</f>
        <v/>
      </c>
      <c r="X62" s="5">
        <f>IF(_z6gsqn="是",IF(A62&lt;=3,0,IF(A62&lt;=6,0.5,1)),1)</f>
        <v/>
      </c>
      <c r="Y62" s="5">
        <f>IF(B62,W62+O62,0)</f>
        <v/>
      </c>
      <c r="Z62" s="5">
        <f>MAX(0,-Y61)</f>
        <v/>
      </c>
      <c r="AA62" s="5">
        <f>MIN(Z61,MAX(0,(AD61+AC61+AB61+AA61+Z61)-AE61))</f>
        <v/>
      </c>
      <c r="AB62" s="5">
        <f>MIN(AA61,MAX(0,(AD61+AC61+AB61+AA61)-AE61))</f>
        <v/>
      </c>
      <c r="AC62" s="5">
        <f>MIN(AB61,MAX(0,(AD61+AC61+AB61)-AE61))</f>
        <v/>
      </c>
      <c r="AD62" s="5">
        <f>MIN(AC61,MAX(0,(AD61+AC61)-AE61))</f>
        <v/>
      </c>
      <c r="AE62" s="5">
        <f>MIN(MAX(Y62,0),Z62+AA62+AB62+AC62+AD62)</f>
        <v/>
      </c>
      <c r="AF62" s="5">
        <f>MAX(Y62,0)-AE62</f>
        <v/>
      </c>
      <c r="AG62" s="5">
        <f>AF62*_z3cyv7*X62</f>
        <v/>
      </c>
      <c r="AH62" s="5">
        <f>MAX(0,-W61)</f>
        <v/>
      </c>
      <c r="AI62" s="5">
        <f>MIN(AH61,MAX(0,(AL61+AK61+AJ61+AI61+AH61)-AM61))</f>
        <v/>
      </c>
      <c r="AJ62" s="5">
        <f>MIN(AI61,MAX(0,(AL61+AK61+AJ61+AI61)-AM61))</f>
        <v/>
      </c>
      <c r="AK62" s="5">
        <f>MIN(AJ61,MAX(0,(AL61+AK61+AJ61)-AM61))</f>
        <v/>
      </c>
      <c r="AL62" s="5">
        <f>MIN(AK61,MAX(0,(AL61+AK61)-AM61))</f>
        <v/>
      </c>
      <c r="AM62" s="5">
        <f>MIN(MAX(W62,0),AH62+AI62+AJ62+AK62+AL62)</f>
        <v/>
      </c>
      <c r="AN62" s="5">
        <f>MAX(W62,0)-AM62</f>
        <v/>
      </c>
      <c r="AO62" s="5">
        <f>AN62*_z3cyv7*X62</f>
        <v/>
      </c>
      <c r="AP62" s="5">
        <f>IF(A62=_zx5hja,_zk1wd3,0)</f>
        <v/>
      </c>
      <c r="AQ62" s="5">
        <f>IF(AND(A62=_zx5hja,_z2al7i&gt;_zx5hja),Q62,0)</f>
        <v/>
      </c>
      <c r="AR62" s="5">
        <f>IF(B62,L62-V62+U62+AP62,0)</f>
        <v/>
      </c>
      <c r="AS62" s="5">
        <f>AR62-AG62</f>
        <v/>
      </c>
      <c r="AT62" s="5">
        <f>IF(B62,W62-AO62+M62-P62+U62+AP62-AQ62,0)</f>
        <v/>
      </c>
      <c r="AU62" s="5">
        <f>AU61+AS62</f>
        <v/>
      </c>
      <c r="AV62" s="5">
        <f>IF(AND(AU61&lt;0,AU62&gt;=0,AS62&gt;0),1,0)</f>
        <v/>
      </c>
      <c r="AW62" s="5">
        <f>K62</f>
        <v/>
      </c>
      <c r="AX62" s="5">
        <f>IF(AR62=0,AX61,SIGN(AR62))</f>
        <v/>
      </c>
      <c r="AY62" s="5">
        <f>AY61+IF(OR(AR62=0,AX61=0),0,IF(SIGN(AR62)&lt;&gt;AX61,1,0))</f>
        <v/>
      </c>
      <c r="AZ62" s="5">
        <f>IF(AS62=0,AZ61,SIGN(AS62))</f>
        <v/>
      </c>
      <c r="BA62" s="5">
        <f>BA61+IF(OR(AS62=0,AZ61=0),0,IF(SIGN(AS62)&lt;&gt;AZ61,1,0))</f>
        <v/>
      </c>
      <c r="BB62" s="5">
        <f>IF(AT62=0,BB61,SIGN(AT62))</f>
        <v/>
      </c>
      <c r="BC62" s="5">
        <f>BC61+IF(OR(AT62=0,BB61=0),0,IF(SIGN(AT62)&lt;&gt;BB61,1,0))</f>
        <v/>
      </c>
    </row>
    <row r="63">
      <c r="A63" s="5" t="n">
        <v>22</v>
      </c>
      <c r="B63" s="5">
        <f>AND(A63&gt;=1,A63&lt;=_zx5hja)</f>
        <v/>
      </c>
      <c r="C63" s="5">
        <f>IF(B63,(1-_z4s9pf)^(A63-1),0)</f>
        <v/>
      </c>
      <c r="D63" s="5">
        <f>_z15be9*C63</f>
        <v/>
      </c>
      <c r="E63" s="5">
        <f>D63*_z3oe3u</f>
        <v/>
      </c>
      <c r="F63" s="5">
        <f>D63-E63</f>
        <v/>
      </c>
      <c r="G63" s="5">
        <f>E63*_z1b5au+F63*_zs0ztd</f>
        <v/>
      </c>
      <c r="H63" s="5">
        <f>G63/(1+_zbkm1b)</f>
        <v/>
      </c>
      <c r="I63" s="5">
        <f>G63-H63</f>
        <v/>
      </c>
      <c r="J63" s="5">
        <f>IF(AND(B63,A63=_z9dcjh),_zyev25*100*_zejl2g,0)</f>
        <v/>
      </c>
      <c r="K63" s="5">
        <f>IF(B63,_zyev25*_zbhogy+_z6ga35*_zj6im6+_zyev25*100*_zm3b2j+_z9dtod+J63,0)</f>
        <v/>
      </c>
      <c r="L63" s="5">
        <f>H63-K63</f>
        <v/>
      </c>
      <c r="M63" s="5">
        <f>IF(AND(B63,A63&lt;=_zk7d33),_zxo0o2/_zk7d33,0)</f>
        <v/>
      </c>
      <c r="N63" s="5">
        <f>Q62</f>
        <v/>
      </c>
      <c r="O63" s="5">
        <f>IF(AND(B63,A63&lt;=_z2al7i),N63*_zz5rij,0)</f>
        <v/>
      </c>
      <c r="P63" s="5">
        <f>IF(AND(B63,A63&lt;=_z2al7i),_zgsfrl-O63,0)</f>
        <v/>
      </c>
      <c r="Q63" s="5">
        <f>N63-P63</f>
        <v/>
      </c>
      <c r="R63" s="5">
        <f>T62+J63*_z3dr73</f>
        <v/>
      </c>
      <c r="S63" s="5">
        <f>MAX(0,I63-R63)</f>
        <v/>
      </c>
      <c r="T63" s="5">
        <f>MAX(0,R63-I63)</f>
        <v/>
      </c>
      <c r="U63" s="5">
        <f>I63-S63</f>
        <v/>
      </c>
      <c r="V63" s="5">
        <f>S63*_zs8hzv</f>
        <v/>
      </c>
      <c r="W63" s="5">
        <f>IF(B63,L63-M63-O63-V63,0)</f>
        <v/>
      </c>
      <c r="X63" s="5">
        <f>IF(_z6gsqn="是",IF(A63&lt;=3,0,IF(A63&lt;=6,0.5,1)),1)</f>
        <v/>
      </c>
      <c r="Y63" s="5">
        <f>IF(B63,W63+O63,0)</f>
        <v/>
      </c>
      <c r="Z63" s="5">
        <f>MAX(0,-Y62)</f>
        <v/>
      </c>
      <c r="AA63" s="5">
        <f>MIN(Z62,MAX(0,(AD62+AC62+AB62+AA62+Z62)-AE62))</f>
        <v/>
      </c>
      <c r="AB63" s="5">
        <f>MIN(AA62,MAX(0,(AD62+AC62+AB62+AA62)-AE62))</f>
        <v/>
      </c>
      <c r="AC63" s="5">
        <f>MIN(AB62,MAX(0,(AD62+AC62+AB62)-AE62))</f>
        <v/>
      </c>
      <c r="AD63" s="5">
        <f>MIN(AC62,MAX(0,(AD62+AC62)-AE62))</f>
        <v/>
      </c>
      <c r="AE63" s="5">
        <f>MIN(MAX(Y63,0),Z63+AA63+AB63+AC63+AD63)</f>
        <v/>
      </c>
      <c r="AF63" s="5">
        <f>MAX(Y63,0)-AE63</f>
        <v/>
      </c>
      <c r="AG63" s="5">
        <f>AF63*_z3cyv7*X63</f>
        <v/>
      </c>
      <c r="AH63" s="5">
        <f>MAX(0,-W62)</f>
        <v/>
      </c>
      <c r="AI63" s="5">
        <f>MIN(AH62,MAX(0,(AL62+AK62+AJ62+AI62+AH62)-AM62))</f>
        <v/>
      </c>
      <c r="AJ63" s="5">
        <f>MIN(AI62,MAX(0,(AL62+AK62+AJ62+AI62)-AM62))</f>
        <v/>
      </c>
      <c r="AK63" s="5">
        <f>MIN(AJ62,MAX(0,(AL62+AK62+AJ62)-AM62))</f>
        <v/>
      </c>
      <c r="AL63" s="5">
        <f>MIN(AK62,MAX(0,(AL62+AK62)-AM62))</f>
        <v/>
      </c>
      <c r="AM63" s="5">
        <f>MIN(MAX(W63,0),AH63+AI63+AJ63+AK63+AL63)</f>
        <v/>
      </c>
      <c r="AN63" s="5">
        <f>MAX(W63,0)-AM63</f>
        <v/>
      </c>
      <c r="AO63" s="5">
        <f>AN63*_z3cyv7*X63</f>
        <v/>
      </c>
      <c r="AP63" s="5">
        <f>IF(A63=_zx5hja,_zk1wd3,0)</f>
        <v/>
      </c>
      <c r="AQ63" s="5">
        <f>IF(AND(A63=_zx5hja,_z2al7i&gt;_zx5hja),Q63,0)</f>
        <v/>
      </c>
      <c r="AR63" s="5">
        <f>IF(B63,L63-V63+U63+AP63,0)</f>
        <v/>
      </c>
      <c r="AS63" s="5">
        <f>AR63-AG63</f>
        <v/>
      </c>
      <c r="AT63" s="5">
        <f>IF(B63,W63-AO63+M63-P63+U63+AP63-AQ63,0)</f>
        <v/>
      </c>
      <c r="AU63" s="5">
        <f>AU62+AS63</f>
        <v/>
      </c>
      <c r="AV63" s="5">
        <f>IF(AND(AU62&lt;0,AU63&gt;=0,AS63&gt;0),1,0)</f>
        <v/>
      </c>
      <c r="AW63" s="5">
        <f>K63</f>
        <v/>
      </c>
      <c r="AX63" s="5">
        <f>IF(AR63=0,AX62,SIGN(AR63))</f>
        <v/>
      </c>
      <c r="AY63" s="5">
        <f>AY62+IF(OR(AR63=0,AX62=0),0,IF(SIGN(AR63)&lt;&gt;AX62,1,0))</f>
        <v/>
      </c>
      <c r="AZ63" s="5">
        <f>IF(AS63=0,AZ62,SIGN(AS63))</f>
        <v/>
      </c>
      <c r="BA63" s="5">
        <f>BA62+IF(OR(AS63=0,AZ62=0),0,IF(SIGN(AS63)&lt;&gt;AZ62,1,0))</f>
        <v/>
      </c>
      <c r="BB63" s="5">
        <f>IF(AT63=0,BB62,SIGN(AT63))</f>
        <v/>
      </c>
      <c r="BC63" s="5">
        <f>BC62+IF(OR(AT63=0,BB62=0),0,IF(SIGN(AT63)&lt;&gt;BB62,1,0))</f>
        <v/>
      </c>
    </row>
    <row r="64">
      <c r="A64" s="5" t="n">
        <v>23</v>
      </c>
      <c r="B64" s="5">
        <f>AND(A64&gt;=1,A64&lt;=_zx5hja)</f>
        <v/>
      </c>
      <c r="C64" s="5">
        <f>IF(B64,(1-_z4s9pf)^(A64-1),0)</f>
        <v/>
      </c>
      <c r="D64" s="5">
        <f>_z15be9*C64</f>
        <v/>
      </c>
      <c r="E64" s="5">
        <f>D64*_z3oe3u</f>
        <v/>
      </c>
      <c r="F64" s="5">
        <f>D64-E64</f>
        <v/>
      </c>
      <c r="G64" s="5">
        <f>E64*_z1b5au+F64*_zs0ztd</f>
        <v/>
      </c>
      <c r="H64" s="5">
        <f>G64/(1+_zbkm1b)</f>
        <v/>
      </c>
      <c r="I64" s="5">
        <f>G64-H64</f>
        <v/>
      </c>
      <c r="J64" s="5">
        <f>IF(AND(B64,A64=_z9dcjh),_zyev25*100*_zejl2g,0)</f>
        <v/>
      </c>
      <c r="K64" s="5">
        <f>IF(B64,_zyev25*_zbhogy+_z6ga35*_zj6im6+_zyev25*100*_zm3b2j+_z9dtod+J64,0)</f>
        <v/>
      </c>
      <c r="L64" s="5">
        <f>H64-K64</f>
        <v/>
      </c>
      <c r="M64" s="5">
        <f>IF(AND(B64,A64&lt;=_zk7d33),_zxo0o2/_zk7d33,0)</f>
        <v/>
      </c>
      <c r="N64" s="5">
        <f>Q63</f>
        <v/>
      </c>
      <c r="O64" s="5">
        <f>IF(AND(B64,A64&lt;=_z2al7i),N64*_zz5rij,0)</f>
        <v/>
      </c>
      <c r="P64" s="5">
        <f>IF(AND(B64,A64&lt;=_z2al7i),_zgsfrl-O64,0)</f>
        <v/>
      </c>
      <c r="Q64" s="5">
        <f>N64-P64</f>
        <v/>
      </c>
      <c r="R64" s="5">
        <f>T63+J64*_z3dr73</f>
        <v/>
      </c>
      <c r="S64" s="5">
        <f>MAX(0,I64-R64)</f>
        <v/>
      </c>
      <c r="T64" s="5">
        <f>MAX(0,R64-I64)</f>
        <v/>
      </c>
      <c r="U64" s="5">
        <f>I64-S64</f>
        <v/>
      </c>
      <c r="V64" s="5">
        <f>S64*_zs8hzv</f>
        <v/>
      </c>
      <c r="W64" s="5">
        <f>IF(B64,L64-M64-O64-V64,0)</f>
        <v/>
      </c>
      <c r="X64" s="5">
        <f>IF(_z6gsqn="是",IF(A64&lt;=3,0,IF(A64&lt;=6,0.5,1)),1)</f>
        <v/>
      </c>
      <c r="Y64" s="5">
        <f>IF(B64,W64+O64,0)</f>
        <v/>
      </c>
      <c r="Z64" s="5">
        <f>MAX(0,-Y63)</f>
        <v/>
      </c>
      <c r="AA64" s="5">
        <f>MIN(Z63,MAX(0,(AD63+AC63+AB63+AA63+Z63)-AE63))</f>
        <v/>
      </c>
      <c r="AB64" s="5">
        <f>MIN(AA63,MAX(0,(AD63+AC63+AB63+AA63)-AE63))</f>
        <v/>
      </c>
      <c r="AC64" s="5">
        <f>MIN(AB63,MAX(0,(AD63+AC63+AB63)-AE63))</f>
        <v/>
      </c>
      <c r="AD64" s="5">
        <f>MIN(AC63,MAX(0,(AD63+AC63)-AE63))</f>
        <v/>
      </c>
      <c r="AE64" s="5">
        <f>MIN(MAX(Y64,0),Z64+AA64+AB64+AC64+AD64)</f>
        <v/>
      </c>
      <c r="AF64" s="5">
        <f>MAX(Y64,0)-AE64</f>
        <v/>
      </c>
      <c r="AG64" s="5">
        <f>AF64*_z3cyv7*X64</f>
        <v/>
      </c>
      <c r="AH64" s="5">
        <f>MAX(0,-W63)</f>
        <v/>
      </c>
      <c r="AI64" s="5">
        <f>MIN(AH63,MAX(0,(AL63+AK63+AJ63+AI63+AH63)-AM63))</f>
        <v/>
      </c>
      <c r="AJ64" s="5">
        <f>MIN(AI63,MAX(0,(AL63+AK63+AJ63+AI63)-AM63))</f>
        <v/>
      </c>
      <c r="AK64" s="5">
        <f>MIN(AJ63,MAX(0,(AL63+AK63+AJ63)-AM63))</f>
        <v/>
      </c>
      <c r="AL64" s="5">
        <f>MIN(AK63,MAX(0,(AL63+AK63)-AM63))</f>
        <v/>
      </c>
      <c r="AM64" s="5">
        <f>MIN(MAX(W64,0),AH64+AI64+AJ64+AK64+AL64)</f>
        <v/>
      </c>
      <c r="AN64" s="5">
        <f>MAX(W64,0)-AM64</f>
        <v/>
      </c>
      <c r="AO64" s="5">
        <f>AN64*_z3cyv7*X64</f>
        <v/>
      </c>
      <c r="AP64" s="5">
        <f>IF(A64=_zx5hja,_zk1wd3,0)</f>
        <v/>
      </c>
      <c r="AQ64" s="5">
        <f>IF(AND(A64=_zx5hja,_z2al7i&gt;_zx5hja),Q64,0)</f>
        <v/>
      </c>
      <c r="AR64" s="5">
        <f>IF(B64,L64-V64+U64+AP64,0)</f>
        <v/>
      </c>
      <c r="AS64" s="5">
        <f>AR64-AG64</f>
        <v/>
      </c>
      <c r="AT64" s="5">
        <f>IF(B64,W64-AO64+M64-P64+U64+AP64-AQ64,0)</f>
        <v/>
      </c>
      <c r="AU64" s="5">
        <f>AU63+AS64</f>
        <v/>
      </c>
      <c r="AV64" s="5">
        <f>IF(AND(AU63&lt;0,AU64&gt;=0,AS64&gt;0),1,0)</f>
        <v/>
      </c>
      <c r="AW64" s="5">
        <f>K64</f>
        <v/>
      </c>
      <c r="AX64" s="5">
        <f>IF(AR64=0,AX63,SIGN(AR64))</f>
        <v/>
      </c>
      <c r="AY64" s="5">
        <f>AY63+IF(OR(AR64=0,AX63=0),0,IF(SIGN(AR64)&lt;&gt;AX63,1,0))</f>
        <v/>
      </c>
      <c r="AZ64" s="5">
        <f>IF(AS64=0,AZ63,SIGN(AS64))</f>
        <v/>
      </c>
      <c r="BA64" s="5">
        <f>BA63+IF(OR(AS64=0,AZ63=0),0,IF(SIGN(AS64)&lt;&gt;AZ63,1,0))</f>
        <v/>
      </c>
      <c r="BB64" s="5">
        <f>IF(AT64=0,BB63,SIGN(AT64))</f>
        <v/>
      </c>
      <c r="BC64" s="5">
        <f>BC63+IF(OR(AT64=0,BB63=0),0,IF(SIGN(AT64)&lt;&gt;BB63,1,0))</f>
        <v/>
      </c>
    </row>
    <row r="65">
      <c r="A65" s="5" t="n">
        <v>24</v>
      </c>
      <c r="B65" s="5">
        <f>AND(A65&gt;=1,A65&lt;=_zx5hja)</f>
        <v/>
      </c>
      <c r="C65" s="5">
        <f>IF(B65,(1-_z4s9pf)^(A65-1),0)</f>
        <v/>
      </c>
      <c r="D65" s="5">
        <f>_z15be9*C65</f>
        <v/>
      </c>
      <c r="E65" s="5">
        <f>D65*_z3oe3u</f>
        <v/>
      </c>
      <c r="F65" s="5">
        <f>D65-E65</f>
        <v/>
      </c>
      <c r="G65" s="5">
        <f>E65*_z1b5au+F65*_zs0ztd</f>
        <v/>
      </c>
      <c r="H65" s="5">
        <f>G65/(1+_zbkm1b)</f>
        <v/>
      </c>
      <c r="I65" s="5">
        <f>G65-H65</f>
        <v/>
      </c>
      <c r="J65" s="5">
        <f>IF(AND(B65,A65=_z9dcjh),_zyev25*100*_zejl2g,0)</f>
        <v/>
      </c>
      <c r="K65" s="5">
        <f>IF(B65,_zyev25*_zbhogy+_z6ga35*_zj6im6+_zyev25*100*_zm3b2j+_z9dtod+J65,0)</f>
        <v/>
      </c>
      <c r="L65" s="5">
        <f>H65-K65</f>
        <v/>
      </c>
      <c r="M65" s="5">
        <f>IF(AND(B65,A65&lt;=_zk7d33),_zxo0o2/_zk7d33,0)</f>
        <v/>
      </c>
      <c r="N65" s="5">
        <f>Q64</f>
        <v/>
      </c>
      <c r="O65" s="5">
        <f>IF(AND(B65,A65&lt;=_z2al7i),N65*_zz5rij,0)</f>
        <v/>
      </c>
      <c r="P65" s="5">
        <f>IF(AND(B65,A65&lt;=_z2al7i),_zgsfrl-O65,0)</f>
        <v/>
      </c>
      <c r="Q65" s="5">
        <f>N65-P65</f>
        <v/>
      </c>
      <c r="R65" s="5">
        <f>T64+J65*_z3dr73</f>
        <v/>
      </c>
      <c r="S65" s="5">
        <f>MAX(0,I65-R65)</f>
        <v/>
      </c>
      <c r="T65" s="5">
        <f>MAX(0,R65-I65)</f>
        <v/>
      </c>
      <c r="U65" s="5">
        <f>I65-S65</f>
        <v/>
      </c>
      <c r="V65" s="5">
        <f>S65*_zs8hzv</f>
        <v/>
      </c>
      <c r="W65" s="5">
        <f>IF(B65,L65-M65-O65-V65,0)</f>
        <v/>
      </c>
      <c r="X65" s="5">
        <f>IF(_z6gsqn="是",IF(A65&lt;=3,0,IF(A65&lt;=6,0.5,1)),1)</f>
        <v/>
      </c>
      <c r="Y65" s="5">
        <f>IF(B65,W65+O65,0)</f>
        <v/>
      </c>
      <c r="Z65" s="5">
        <f>MAX(0,-Y64)</f>
        <v/>
      </c>
      <c r="AA65" s="5">
        <f>MIN(Z64,MAX(0,(AD64+AC64+AB64+AA64+Z64)-AE64))</f>
        <v/>
      </c>
      <c r="AB65" s="5">
        <f>MIN(AA64,MAX(0,(AD64+AC64+AB64+AA64)-AE64))</f>
        <v/>
      </c>
      <c r="AC65" s="5">
        <f>MIN(AB64,MAX(0,(AD64+AC64+AB64)-AE64))</f>
        <v/>
      </c>
      <c r="AD65" s="5">
        <f>MIN(AC64,MAX(0,(AD64+AC64)-AE64))</f>
        <v/>
      </c>
      <c r="AE65" s="5">
        <f>MIN(MAX(Y65,0),Z65+AA65+AB65+AC65+AD65)</f>
        <v/>
      </c>
      <c r="AF65" s="5">
        <f>MAX(Y65,0)-AE65</f>
        <v/>
      </c>
      <c r="AG65" s="5">
        <f>AF65*_z3cyv7*X65</f>
        <v/>
      </c>
      <c r="AH65" s="5">
        <f>MAX(0,-W64)</f>
        <v/>
      </c>
      <c r="AI65" s="5">
        <f>MIN(AH64,MAX(0,(AL64+AK64+AJ64+AI64+AH64)-AM64))</f>
        <v/>
      </c>
      <c r="AJ65" s="5">
        <f>MIN(AI64,MAX(0,(AL64+AK64+AJ64+AI64)-AM64))</f>
        <v/>
      </c>
      <c r="AK65" s="5">
        <f>MIN(AJ64,MAX(0,(AL64+AK64+AJ64)-AM64))</f>
        <v/>
      </c>
      <c r="AL65" s="5">
        <f>MIN(AK64,MAX(0,(AL64+AK64)-AM64))</f>
        <v/>
      </c>
      <c r="AM65" s="5">
        <f>MIN(MAX(W65,0),AH65+AI65+AJ65+AK65+AL65)</f>
        <v/>
      </c>
      <c r="AN65" s="5">
        <f>MAX(W65,0)-AM65</f>
        <v/>
      </c>
      <c r="AO65" s="5">
        <f>AN65*_z3cyv7*X65</f>
        <v/>
      </c>
      <c r="AP65" s="5">
        <f>IF(A65=_zx5hja,_zk1wd3,0)</f>
        <v/>
      </c>
      <c r="AQ65" s="5">
        <f>IF(AND(A65=_zx5hja,_z2al7i&gt;_zx5hja),Q65,0)</f>
        <v/>
      </c>
      <c r="AR65" s="5">
        <f>IF(B65,L65-V65+U65+AP65,0)</f>
        <v/>
      </c>
      <c r="AS65" s="5">
        <f>AR65-AG65</f>
        <v/>
      </c>
      <c r="AT65" s="5">
        <f>IF(B65,W65-AO65+M65-P65+U65+AP65-AQ65,0)</f>
        <v/>
      </c>
      <c r="AU65" s="5">
        <f>AU64+AS65</f>
        <v/>
      </c>
      <c r="AV65" s="5">
        <f>IF(AND(AU64&lt;0,AU65&gt;=0,AS65&gt;0),1,0)</f>
        <v/>
      </c>
      <c r="AW65" s="5">
        <f>K65</f>
        <v/>
      </c>
      <c r="AX65" s="5">
        <f>IF(AR65=0,AX64,SIGN(AR65))</f>
        <v/>
      </c>
      <c r="AY65" s="5">
        <f>AY64+IF(OR(AR65=0,AX64=0),0,IF(SIGN(AR65)&lt;&gt;AX64,1,0))</f>
        <v/>
      </c>
      <c r="AZ65" s="5">
        <f>IF(AS65=0,AZ64,SIGN(AS65))</f>
        <v/>
      </c>
      <c r="BA65" s="5">
        <f>BA64+IF(OR(AS65=0,AZ64=0),0,IF(SIGN(AS65)&lt;&gt;AZ64,1,0))</f>
        <v/>
      </c>
      <c r="BB65" s="5">
        <f>IF(AT65=0,BB64,SIGN(AT65))</f>
        <v/>
      </c>
      <c r="BC65" s="5">
        <f>BC64+IF(OR(AT65=0,BB64=0),0,IF(SIGN(AT65)&lt;&gt;BB64,1,0))</f>
        <v/>
      </c>
    </row>
    <row r="66">
      <c r="A66" s="5" t="n">
        <v>25</v>
      </c>
      <c r="B66" s="5">
        <f>AND(A66&gt;=1,A66&lt;=_zx5hja)</f>
        <v/>
      </c>
      <c r="C66" s="5">
        <f>IF(B66,(1-_z4s9pf)^(A66-1),0)</f>
        <v/>
      </c>
      <c r="D66" s="5">
        <f>_z15be9*C66</f>
        <v/>
      </c>
      <c r="E66" s="5">
        <f>D66*_z3oe3u</f>
        <v/>
      </c>
      <c r="F66" s="5">
        <f>D66-E66</f>
        <v/>
      </c>
      <c r="G66" s="5">
        <f>E66*_z1b5au+F66*_zs0ztd</f>
        <v/>
      </c>
      <c r="H66" s="5">
        <f>G66/(1+_zbkm1b)</f>
        <v/>
      </c>
      <c r="I66" s="5">
        <f>G66-H66</f>
        <v/>
      </c>
      <c r="J66" s="5">
        <f>IF(AND(B66,A66=_z9dcjh),_zyev25*100*_zejl2g,0)</f>
        <v/>
      </c>
      <c r="K66" s="5">
        <f>IF(B66,_zyev25*_zbhogy+_z6ga35*_zj6im6+_zyev25*100*_zm3b2j+_z9dtod+J66,0)</f>
        <v/>
      </c>
      <c r="L66" s="5">
        <f>H66-K66</f>
        <v/>
      </c>
      <c r="M66" s="5">
        <f>IF(AND(B66,A66&lt;=_zk7d33),_zxo0o2/_zk7d33,0)</f>
        <v/>
      </c>
      <c r="N66" s="5">
        <f>Q65</f>
        <v/>
      </c>
      <c r="O66" s="5">
        <f>IF(AND(B66,A66&lt;=_z2al7i),N66*_zz5rij,0)</f>
        <v/>
      </c>
      <c r="P66" s="5">
        <f>IF(AND(B66,A66&lt;=_z2al7i),_zgsfrl-O66,0)</f>
        <v/>
      </c>
      <c r="Q66" s="5">
        <f>N66-P66</f>
        <v/>
      </c>
      <c r="R66" s="5">
        <f>T65+J66*_z3dr73</f>
        <v/>
      </c>
      <c r="S66" s="5">
        <f>MAX(0,I66-R66)</f>
        <v/>
      </c>
      <c r="T66" s="5">
        <f>MAX(0,R66-I66)</f>
        <v/>
      </c>
      <c r="U66" s="5">
        <f>I66-S66</f>
        <v/>
      </c>
      <c r="V66" s="5">
        <f>S66*_zs8hzv</f>
        <v/>
      </c>
      <c r="W66" s="5">
        <f>IF(B66,L66-M66-O66-V66,0)</f>
        <v/>
      </c>
      <c r="X66" s="5">
        <f>IF(_z6gsqn="是",IF(A66&lt;=3,0,IF(A66&lt;=6,0.5,1)),1)</f>
        <v/>
      </c>
      <c r="Y66" s="5">
        <f>IF(B66,W66+O66,0)</f>
        <v/>
      </c>
      <c r="Z66" s="5">
        <f>MAX(0,-Y65)</f>
        <v/>
      </c>
      <c r="AA66" s="5">
        <f>MIN(Z65,MAX(0,(AD65+AC65+AB65+AA65+Z65)-AE65))</f>
        <v/>
      </c>
      <c r="AB66" s="5">
        <f>MIN(AA65,MAX(0,(AD65+AC65+AB65+AA65)-AE65))</f>
        <v/>
      </c>
      <c r="AC66" s="5">
        <f>MIN(AB65,MAX(0,(AD65+AC65+AB65)-AE65))</f>
        <v/>
      </c>
      <c r="AD66" s="5">
        <f>MIN(AC65,MAX(0,(AD65+AC65)-AE65))</f>
        <v/>
      </c>
      <c r="AE66" s="5">
        <f>MIN(MAX(Y66,0),Z66+AA66+AB66+AC66+AD66)</f>
        <v/>
      </c>
      <c r="AF66" s="5">
        <f>MAX(Y66,0)-AE66</f>
        <v/>
      </c>
      <c r="AG66" s="5">
        <f>AF66*_z3cyv7*X66</f>
        <v/>
      </c>
      <c r="AH66" s="5">
        <f>MAX(0,-W65)</f>
        <v/>
      </c>
      <c r="AI66" s="5">
        <f>MIN(AH65,MAX(0,(AL65+AK65+AJ65+AI65+AH65)-AM65))</f>
        <v/>
      </c>
      <c r="AJ66" s="5">
        <f>MIN(AI65,MAX(0,(AL65+AK65+AJ65+AI65)-AM65))</f>
        <v/>
      </c>
      <c r="AK66" s="5">
        <f>MIN(AJ65,MAX(0,(AL65+AK65+AJ65)-AM65))</f>
        <v/>
      </c>
      <c r="AL66" s="5">
        <f>MIN(AK65,MAX(0,(AL65+AK65)-AM65))</f>
        <v/>
      </c>
      <c r="AM66" s="5">
        <f>MIN(MAX(W66,0),AH66+AI66+AJ66+AK66+AL66)</f>
        <v/>
      </c>
      <c r="AN66" s="5">
        <f>MAX(W66,0)-AM66</f>
        <v/>
      </c>
      <c r="AO66" s="5">
        <f>AN66*_z3cyv7*X66</f>
        <v/>
      </c>
      <c r="AP66" s="5">
        <f>IF(A66=_zx5hja,_zk1wd3,0)</f>
        <v/>
      </c>
      <c r="AQ66" s="5">
        <f>IF(AND(A66=_zx5hja,_z2al7i&gt;_zx5hja),Q66,0)</f>
        <v/>
      </c>
      <c r="AR66" s="5">
        <f>IF(B66,L66-V66+U66+AP66,0)</f>
        <v/>
      </c>
      <c r="AS66" s="5">
        <f>AR66-AG66</f>
        <v/>
      </c>
      <c r="AT66" s="5">
        <f>IF(B66,W66-AO66+M66-P66+U66+AP66-AQ66,0)</f>
        <v/>
      </c>
      <c r="AU66" s="5">
        <f>AU65+AS66</f>
        <v/>
      </c>
      <c r="AV66" s="5">
        <f>IF(AND(AU65&lt;0,AU66&gt;=0,AS66&gt;0),1,0)</f>
        <v/>
      </c>
      <c r="AW66" s="5">
        <f>K66</f>
        <v/>
      </c>
      <c r="AX66" s="5">
        <f>IF(AR66=0,AX65,SIGN(AR66))</f>
        <v/>
      </c>
      <c r="AY66" s="5">
        <f>AY65+IF(OR(AR66=0,AX65=0),0,IF(SIGN(AR66)&lt;&gt;AX65,1,0))</f>
        <v/>
      </c>
      <c r="AZ66" s="5">
        <f>IF(AS66=0,AZ65,SIGN(AS66))</f>
        <v/>
      </c>
      <c r="BA66" s="5">
        <f>BA65+IF(OR(AS66=0,AZ65=0),0,IF(SIGN(AS66)&lt;&gt;AZ65,1,0))</f>
        <v/>
      </c>
      <c r="BB66" s="5">
        <f>IF(AT66=0,BB65,SIGN(AT66))</f>
        <v/>
      </c>
      <c r="BC66" s="5">
        <f>BC65+IF(OR(AT66=0,BB65=0),0,IF(SIGN(AT66)&lt;&gt;BB65,1,0))</f>
        <v/>
      </c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5" t="n"/>
      <c r="L67" s="5" t="n"/>
      <c r="M67" s="5" t="n"/>
      <c r="N67" s="5" t="n"/>
      <c r="O67" s="5" t="n"/>
      <c r="P67" s="5" t="n"/>
      <c r="Q67" s="5" t="n"/>
      <c r="R67" s="5" t="n"/>
      <c r="S67" s="5" t="n"/>
      <c r="T67" s="5" t="n"/>
      <c r="U67" s="5" t="n"/>
      <c r="V67" s="5" t="n"/>
      <c r="W67" s="5" t="n"/>
      <c r="X67" s="5" t="n"/>
      <c r="Y67" s="5" t="n"/>
      <c r="Z67" s="5" t="n"/>
      <c r="AA67" s="5" t="n"/>
      <c r="AB67" s="5" t="n"/>
      <c r="AC67" s="5" t="n"/>
      <c r="AD67" s="5" t="n"/>
      <c r="AE67" s="5" t="n"/>
      <c r="AF67" s="5" t="n"/>
      <c r="AG67" s="5" t="n"/>
      <c r="AH67" s="5" t="n"/>
      <c r="AI67" s="5" t="n"/>
      <c r="AJ67" s="5" t="n"/>
      <c r="AK67" s="5" t="n"/>
      <c r="AL67" s="5" t="n"/>
      <c r="AM67" s="5" t="n"/>
      <c r="AN67" s="5" t="n"/>
      <c r="AO67" s="5" t="n"/>
      <c r="AP67" s="5" t="n"/>
      <c r="AQ67" s="5" t="n"/>
      <c r="AR67" s="5" t="n"/>
      <c r="AS67" s="5" t="n"/>
      <c r="AT67" s="5" t="n"/>
      <c r="AU67" s="5" t="n"/>
      <c r="AV67" s="5" t="n"/>
      <c r="AW67" s="5" t="n"/>
      <c r="AX67" s="5" t="n"/>
      <c r="AY67" s="5" t="n"/>
      <c r="AZ67" s="5" t="n"/>
      <c r="BA67" s="5" t="n"/>
      <c r="BB67" s="5" t="n"/>
      <c r="BC67" s="5" t="n"/>
    </row>
    <row r="68">
      <c r="A68" s="5" t="inlineStr">
        <is>
          <t>chk_pre_lo</t>
        </is>
      </c>
      <c r="B68" s="5">
        <f>SUMPRODUCT(_zlkbam,0.05^-_zpb86f)</f>
        <v/>
      </c>
      <c r="C68" s="5" t="n"/>
      <c r="D68" s="5" t="n"/>
      <c r="E68" s="5" t="n"/>
      <c r="F68" s="5" t="n"/>
      <c r="G68" s="5" t="n"/>
      <c r="H68" s="5" t="n"/>
      <c r="I68" s="5" t="n"/>
      <c r="J68" s="5" t="n"/>
      <c r="K68" s="5" t="n"/>
      <c r="L68" s="5" t="n"/>
      <c r="M68" s="5" t="n"/>
      <c r="N68" s="5" t="n"/>
      <c r="O68" s="5" t="n"/>
      <c r="P68" s="5" t="n"/>
      <c r="Q68" s="5" t="n"/>
      <c r="R68" s="5" t="n"/>
      <c r="S68" s="5" t="n"/>
      <c r="T68" s="5" t="n"/>
      <c r="U68" s="5" t="n"/>
      <c r="V68" s="5" t="n"/>
      <c r="W68" s="5" t="n"/>
      <c r="X68" s="5" t="n"/>
      <c r="Y68" s="5" t="n"/>
      <c r="Z68" s="5" t="n"/>
      <c r="AA68" s="5" t="n"/>
      <c r="AB68" s="5" t="n"/>
      <c r="AC68" s="5" t="n"/>
      <c r="AD68" s="5" t="n"/>
      <c r="AE68" s="5" t="n"/>
      <c r="AF68" s="5" t="n"/>
      <c r="AG68" s="5" t="n"/>
      <c r="AH68" s="5" t="n"/>
      <c r="AI68" s="5" t="n"/>
      <c r="AJ68" s="5" t="n"/>
      <c r="AK68" s="5" t="n"/>
      <c r="AL68" s="5" t="n"/>
      <c r="AM68" s="5" t="n"/>
      <c r="AN68" s="5" t="n"/>
      <c r="AO68" s="5" t="n"/>
      <c r="AP68" s="5" t="n"/>
      <c r="AQ68" s="5" t="n"/>
      <c r="AR68" s="5" t="n"/>
      <c r="AS68" s="5" t="n"/>
      <c r="AT68" s="5" t="n"/>
      <c r="AU68" s="5" t="n"/>
      <c r="AV68" s="5" t="n"/>
      <c r="AW68" s="5" t="n"/>
      <c r="AX68" s="5" t="n"/>
      <c r="AY68" s="5" t="n"/>
      <c r="AZ68" s="5" t="n"/>
      <c r="BA68" s="5" t="n"/>
      <c r="BB68" s="5" t="n"/>
      <c r="BC68" s="5" t="n"/>
    </row>
    <row r="69">
      <c r="A69" s="5" t="inlineStr">
        <is>
          <t>chk_pre_hi</t>
        </is>
      </c>
      <c r="B69" s="5">
        <f>SUMPRODUCT(_zlkbam,4^-_zpb86f)</f>
        <v/>
      </c>
      <c r="C69" s="5" t="n"/>
      <c r="D69" s="5" t="n"/>
      <c r="E69" s="5" t="n"/>
      <c r="F69" s="5" t="n"/>
      <c r="G69" s="5" t="n"/>
      <c r="H69" s="5" t="n"/>
      <c r="I69" s="5" t="n"/>
      <c r="J69" s="5" t="n"/>
      <c r="K69" s="5" t="n"/>
      <c r="L69" s="5" t="n"/>
      <c r="M69" s="5" t="n"/>
      <c r="N69" s="5" t="n"/>
      <c r="O69" s="5" t="n"/>
      <c r="P69" s="5" t="n"/>
      <c r="Q69" s="5" t="n"/>
      <c r="R69" s="5" t="n"/>
      <c r="S69" s="5" t="n"/>
      <c r="T69" s="5" t="n"/>
      <c r="U69" s="5" t="n"/>
      <c r="V69" s="5" t="n"/>
      <c r="W69" s="5" t="n"/>
      <c r="X69" s="5" t="n"/>
      <c r="Y69" s="5" t="n"/>
      <c r="Z69" s="5" t="n"/>
      <c r="AA69" s="5" t="n"/>
      <c r="AB69" s="5" t="n"/>
      <c r="AC69" s="5" t="n"/>
      <c r="AD69" s="5" t="n"/>
      <c r="AE69" s="5" t="n"/>
      <c r="AF69" s="5" t="n"/>
      <c r="AG69" s="5" t="n"/>
      <c r="AH69" s="5" t="n"/>
      <c r="AI69" s="5" t="n"/>
      <c r="AJ69" s="5" t="n"/>
      <c r="AK69" s="5" t="n"/>
      <c r="AL69" s="5" t="n"/>
      <c r="AM69" s="5" t="n"/>
      <c r="AN69" s="5" t="n"/>
      <c r="AO69" s="5" t="n"/>
      <c r="AP69" s="5" t="n"/>
      <c r="AQ69" s="5" t="n"/>
      <c r="AR69" s="5" t="n"/>
      <c r="AS69" s="5" t="n"/>
      <c r="AT69" s="5" t="n"/>
      <c r="AU69" s="5" t="n"/>
      <c r="AV69" s="5" t="n"/>
      <c r="AW69" s="5" t="n"/>
      <c r="AX69" s="5" t="n"/>
      <c r="AY69" s="5" t="n"/>
      <c r="AZ69" s="5" t="n"/>
      <c r="BA69" s="5" t="n"/>
      <c r="BB69" s="5" t="n"/>
      <c r="BC69" s="5" t="n"/>
    </row>
    <row r="70">
      <c r="A70" s="5" t="inlineStr">
        <is>
          <t>chk_post_lo</t>
        </is>
      </c>
      <c r="B70" s="5">
        <f>SUMPRODUCT(_zka85g,0.05^-_zpb86f)</f>
        <v/>
      </c>
      <c r="C70" s="5" t="n"/>
      <c r="D70" s="5" t="n"/>
      <c r="E70" s="5" t="n"/>
      <c r="F70" s="5" t="n"/>
      <c r="G70" s="5" t="n"/>
      <c r="H70" s="5" t="n"/>
      <c r="I70" s="5" t="n"/>
      <c r="J70" s="5" t="n"/>
      <c r="K70" s="5" t="n"/>
      <c r="L70" s="5" t="n"/>
      <c r="M70" s="5" t="n"/>
      <c r="N70" s="5" t="n"/>
      <c r="O70" s="5" t="n"/>
      <c r="P70" s="5" t="n"/>
      <c r="Q70" s="5" t="n"/>
      <c r="R70" s="5" t="n"/>
      <c r="S70" s="5" t="n"/>
      <c r="T70" s="5" t="n"/>
      <c r="U70" s="5" t="n"/>
      <c r="V70" s="5" t="n"/>
      <c r="W70" s="5" t="n"/>
      <c r="X70" s="5" t="n"/>
      <c r="Y70" s="5" t="n"/>
      <c r="Z70" s="5" t="n"/>
      <c r="AA70" s="5" t="n"/>
      <c r="AB70" s="5" t="n"/>
      <c r="AC70" s="5" t="n"/>
      <c r="AD70" s="5" t="n"/>
      <c r="AE70" s="5" t="n"/>
      <c r="AF70" s="5" t="n"/>
      <c r="AG70" s="5" t="n"/>
      <c r="AH70" s="5" t="n"/>
      <c r="AI70" s="5" t="n"/>
      <c r="AJ70" s="5" t="n"/>
      <c r="AK70" s="5" t="n"/>
      <c r="AL70" s="5" t="n"/>
      <c r="AM70" s="5" t="n"/>
      <c r="AN70" s="5" t="n"/>
      <c r="AO70" s="5" t="n"/>
      <c r="AP70" s="5" t="n"/>
      <c r="AQ70" s="5" t="n"/>
      <c r="AR70" s="5" t="n"/>
      <c r="AS70" s="5" t="n"/>
      <c r="AT70" s="5" t="n"/>
      <c r="AU70" s="5" t="n"/>
      <c r="AV70" s="5" t="n"/>
      <c r="AW70" s="5" t="n"/>
      <c r="AX70" s="5" t="n"/>
      <c r="AY70" s="5" t="n"/>
      <c r="AZ70" s="5" t="n"/>
      <c r="BA70" s="5" t="n"/>
      <c r="BB70" s="5" t="n"/>
      <c r="BC70" s="5" t="n"/>
    </row>
    <row r="71">
      <c r="A71" s="5" t="inlineStr">
        <is>
          <t>chk_post_hi</t>
        </is>
      </c>
      <c r="B71" s="5">
        <f>SUMPRODUCT(_zka85g,4^-_zpb86f)</f>
        <v/>
      </c>
      <c r="C71" s="5" t="n"/>
      <c r="D71" s="5" t="n"/>
      <c r="E71" s="5" t="n"/>
      <c r="F71" s="5" t="n"/>
      <c r="G71" s="5" t="n"/>
      <c r="H71" s="5" t="n"/>
      <c r="I71" s="5" t="n"/>
      <c r="J71" s="5" t="n"/>
      <c r="K71" s="5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  <c r="AC71" s="5" t="n"/>
      <c r="AD71" s="5" t="n"/>
      <c r="AE71" s="5" t="n"/>
      <c r="AF71" s="5" t="n"/>
      <c r="AG71" s="5" t="n"/>
      <c r="AH71" s="5" t="n"/>
      <c r="AI71" s="5" t="n"/>
      <c r="AJ71" s="5" t="n"/>
      <c r="AK71" s="5" t="n"/>
      <c r="AL71" s="5" t="n"/>
      <c r="AM71" s="5" t="n"/>
      <c r="AN71" s="5" t="n"/>
      <c r="AO71" s="5" t="n"/>
      <c r="AP71" s="5" t="n"/>
      <c r="AQ71" s="5" t="n"/>
      <c r="AR71" s="5" t="n"/>
      <c r="AS71" s="5" t="n"/>
      <c r="AT71" s="5" t="n"/>
      <c r="AU71" s="5" t="n"/>
      <c r="AV71" s="5" t="n"/>
      <c r="AW71" s="5" t="n"/>
      <c r="AX71" s="5" t="n"/>
      <c r="AY71" s="5" t="n"/>
      <c r="AZ71" s="5" t="n"/>
      <c r="BA71" s="5" t="n"/>
      <c r="BB71" s="5" t="n"/>
      <c r="BC71" s="5" t="n"/>
    </row>
    <row r="72">
      <c r="A72" s="5" t="inlineStr">
        <is>
          <t>chk_eq_lo</t>
        </is>
      </c>
      <c r="B72" s="5">
        <f>SUMPRODUCT(_z1jnxr,0.05^-_zpb86f)</f>
        <v/>
      </c>
      <c r="C72" s="5" t="n"/>
      <c r="D72" s="5" t="n"/>
      <c r="E72" s="5" t="n"/>
      <c r="F72" s="5" t="n"/>
      <c r="G72" s="5" t="n"/>
      <c r="H72" s="5" t="n"/>
      <c r="I72" s="5" t="n"/>
      <c r="J72" s="5" t="n"/>
      <c r="K72" s="5" t="n"/>
      <c r="L72" s="5" t="n"/>
      <c r="M72" s="5" t="n"/>
      <c r="N72" s="5" t="n"/>
      <c r="O72" s="5" t="n"/>
      <c r="P72" s="5" t="n"/>
      <c r="Q72" s="5" t="n"/>
      <c r="R72" s="5" t="n"/>
      <c r="S72" s="5" t="n"/>
      <c r="T72" s="5" t="n"/>
      <c r="U72" s="5" t="n"/>
      <c r="V72" s="5" t="n"/>
      <c r="W72" s="5" t="n"/>
      <c r="X72" s="5" t="n"/>
      <c r="Y72" s="5" t="n"/>
      <c r="Z72" s="5" t="n"/>
      <c r="AA72" s="5" t="n"/>
      <c r="AB72" s="5" t="n"/>
      <c r="AC72" s="5" t="n"/>
      <c r="AD72" s="5" t="n"/>
      <c r="AE72" s="5" t="n"/>
      <c r="AF72" s="5" t="n"/>
      <c r="AG72" s="5" t="n"/>
      <c r="AH72" s="5" t="n"/>
      <c r="AI72" s="5" t="n"/>
      <c r="AJ72" s="5" t="n"/>
      <c r="AK72" s="5" t="n"/>
      <c r="AL72" s="5" t="n"/>
      <c r="AM72" s="5" t="n"/>
      <c r="AN72" s="5" t="n"/>
      <c r="AO72" s="5" t="n"/>
      <c r="AP72" s="5" t="n"/>
      <c r="AQ72" s="5" t="n"/>
      <c r="AR72" s="5" t="n"/>
      <c r="AS72" s="5" t="n"/>
      <c r="AT72" s="5" t="n"/>
      <c r="AU72" s="5" t="n"/>
      <c r="AV72" s="5" t="n"/>
      <c r="AW72" s="5" t="n"/>
      <c r="AX72" s="5" t="n"/>
      <c r="AY72" s="5" t="n"/>
      <c r="AZ72" s="5" t="n"/>
      <c r="BA72" s="5" t="n"/>
      <c r="BB72" s="5" t="n"/>
      <c r="BC72" s="5" t="n"/>
    </row>
    <row r="73">
      <c r="A73" s="5" t="inlineStr">
        <is>
          <t>chk_eq_hi</t>
        </is>
      </c>
      <c r="B73" s="5">
        <f>SUMPRODUCT(_z1jnxr,4^-_zpb86f)</f>
        <v/>
      </c>
      <c r="C73" s="5" t="n"/>
      <c r="D73" s="5" t="n"/>
      <c r="E73" s="5" t="n"/>
      <c r="F73" s="5" t="n"/>
      <c r="G73" s="5" t="n"/>
      <c r="H73" s="5" t="n"/>
      <c r="I73" s="5" t="n"/>
      <c r="J73" s="5" t="n"/>
      <c r="K73" s="5" t="n"/>
      <c r="L73" s="5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  <c r="AA73" s="5" t="n"/>
      <c r="AB73" s="5" t="n"/>
      <c r="AC73" s="5" t="n"/>
      <c r="AD73" s="5" t="n"/>
      <c r="AE73" s="5" t="n"/>
      <c r="AF73" s="5" t="n"/>
      <c r="AG73" s="5" t="n"/>
      <c r="AH73" s="5" t="n"/>
      <c r="AI73" s="5" t="n"/>
      <c r="AJ73" s="5" t="n"/>
      <c r="AK73" s="5" t="n"/>
      <c r="AL73" s="5" t="n"/>
      <c r="AM73" s="5" t="n"/>
      <c r="AN73" s="5" t="n"/>
      <c r="AO73" s="5" t="n"/>
      <c r="AP73" s="5" t="n"/>
      <c r="AQ73" s="5" t="n"/>
      <c r="AR73" s="5" t="n"/>
      <c r="AS73" s="5" t="n"/>
      <c r="AT73" s="5" t="n"/>
      <c r="AU73" s="5" t="n"/>
      <c r="AV73" s="5" t="n"/>
      <c r="AW73" s="5" t="n"/>
      <c r="AX73" s="5" t="n"/>
      <c r="AY73" s="5" t="n"/>
      <c r="AZ73" s="5" t="n"/>
      <c r="BA73" s="5" t="n"/>
      <c r="BB73" s="5" t="n"/>
      <c r="BC73" s="5" t="n"/>
    </row>
    <row r="74">
      <c r="A74" s="5" t="inlineStr">
        <is>
          <t>irr_pre</t>
        </is>
      </c>
      <c r="B74" s="5">
        <f>IF(_zbwnle&gt;25,"运营期超25年·请用网页版测算",IF(_zsqbm8*_zzj3wj&gt;0,IF(AY66&gt;1,"非常规现金流，须人工复核","全周期未回收"),IFERROR(IRR(_zlkbam),"—")))</f>
        <v/>
      </c>
      <c r="C74" s="5" t="n"/>
      <c r="D74" s="5" t="n"/>
      <c r="E74" s="5" t="n"/>
      <c r="F74" s="5" t="n"/>
      <c r="G74" s="5" t="n"/>
      <c r="H74" s="5" t="n"/>
      <c r="I74" s="5" t="n"/>
      <c r="J74" s="5" t="n"/>
      <c r="K74" s="5" t="n"/>
      <c r="L74" s="5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  <c r="AA74" s="5" t="n"/>
      <c r="AB74" s="5" t="n"/>
      <c r="AC74" s="5" t="n"/>
      <c r="AD74" s="5" t="n"/>
      <c r="AE74" s="5" t="n"/>
      <c r="AF74" s="5" t="n"/>
      <c r="AG74" s="5" t="n"/>
      <c r="AH74" s="5" t="n"/>
      <c r="AI74" s="5" t="n"/>
      <c r="AJ74" s="5" t="n"/>
      <c r="AK74" s="5" t="n"/>
      <c r="AL74" s="5" t="n"/>
      <c r="AM74" s="5" t="n"/>
      <c r="AN74" s="5" t="n"/>
      <c r="AO74" s="5" t="n"/>
      <c r="AP74" s="5" t="n"/>
      <c r="AQ74" s="5" t="n"/>
      <c r="AR74" s="5" t="n"/>
      <c r="AS74" s="5" t="n"/>
      <c r="AT74" s="5" t="n"/>
      <c r="AU74" s="5" t="n"/>
      <c r="AV74" s="5" t="n"/>
      <c r="AW74" s="5" t="n"/>
      <c r="AX74" s="5" t="n"/>
      <c r="AY74" s="5" t="n"/>
      <c r="AZ74" s="5" t="n"/>
      <c r="BA74" s="5" t="n"/>
      <c r="BB74" s="5" t="n"/>
      <c r="BC74" s="5" t="n"/>
    </row>
    <row r="75">
      <c r="A75" s="5" t="inlineStr">
        <is>
          <t>irr_post</t>
        </is>
      </c>
      <c r="B75" s="5">
        <f>IF(_zbwnle&gt;25,"运营期超25年·请用网页版测算",IF(_zqsho0*_zpy13v&gt;0,IF(BA66&gt;1,"非常规现金流，须人工复核","全周期未回收"),IFERROR(IRR(_zka85g),"—")))</f>
        <v/>
      </c>
      <c r="C75" s="5" t="n"/>
      <c r="D75" s="5" t="n"/>
      <c r="E75" s="5" t="n"/>
      <c r="F75" s="5" t="n"/>
      <c r="G75" s="5" t="n"/>
      <c r="H75" s="5" t="n"/>
      <c r="I75" s="5" t="n"/>
      <c r="J75" s="5" t="n"/>
      <c r="K75" s="5" t="n"/>
      <c r="L75" s="5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  <c r="AA75" s="5" t="n"/>
      <c r="AB75" s="5" t="n"/>
      <c r="AC75" s="5" t="n"/>
      <c r="AD75" s="5" t="n"/>
      <c r="AE75" s="5" t="n"/>
      <c r="AF75" s="5" t="n"/>
      <c r="AG75" s="5" t="n"/>
      <c r="AH75" s="5" t="n"/>
      <c r="AI75" s="5" t="n"/>
      <c r="AJ75" s="5" t="n"/>
      <c r="AK75" s="5" t="n"/>
      <c r="AL75" s="5" t="n"/>
      <c r="AM75" s="5" t="n"/>
      <c r="AN75" s="5" t="n"/>
      <c r="AO75" s="5" t="n"/>
      <c r="AP75" s="5" t="n"/>
      <c r="AQ75" s="5" t="n"/>
      <c r="AR75" s="5" t="n"/>
      <c r="AS75" s="5" t="n"/>
      <c r="AT75" s="5" t="n"/>
      <c r="AU75" s="5" t="n"/>
      <c r="AV75" s="5" t="n"/>
      <c r="AW75" s="5" t="n"/>
      <c r="AX75" s="5" t="n"/>
      <c r="AY75" s="5" t="n"/>
      <c r="AZ75" s="5" t="n"/>
      <c r="BA75" s="5" t="n"/>
      <c r="BB75" s="5" t="n"/>
      <c r="BC75" s="5" t="n"/>
    </row>
    <row r="76">
      <c r="A76" s="5" t="inlineStr">
        <is>
          <t>irr_eq</t>
        </is>
      </c>
      <c r="B76" s="5">
        <f>IF(_zbwnle&gt;25,"运营期超25年·请用网页版测算",IF(_zxdbxd*_ztsxiq&gt;0,IF(BC66&gt;1,"非常规现金流，须人工复核","全周期未回收"),IFERROR(IRR(_z1jnxr),"—")))</f>
        <v/>
      </c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  <c r="AC76" s="5" t="n"/>
      <c r="AD76" s="5" t="n"/>
      <c r="AE76" s="5" t="n"/>
      <c r="AF76" s="5" t="n"/>
      <c r="AG76" s="5" t="n"/>
      <c r="AH76" s="5" t="n"/>
      <c r="AI76" s="5" t="n"/>
      <c r="AJ76" s="5" t="n"/>
      <c r="AK76" s="5" t="n"/>
      <c r="AL76" s="5" t="n"/>
      <c r="AM76" s="5" t="n"/>
      <c r="AN76" s="5" t="n"/>
      <c r="AO76" s="5" t="n"/>
      <c r="AP76" s="5" t="n"/>
      <c r="AQ76" s="5" t="n"/>
      <c r="AR76" s="5" t="n"/>
      <c r="AS76" s="5" t="n"/>
      <c r="AT76" s="5" t="n"/>
      <c r="AU76" s="5" t="n"/>
      <c r="AV76" s="5" t="n"/>
      <c r="AW76" s="5" t="n"/>
      <c r="AX76" s="5" t="n"/>
      <c r="AY76" s="5" t="n"/>
      <c r="AZ76" s="5" t="n"/>
      <c r="BA76" s="5" t="n"/>
      <c r="BB76" s="5" t="n"/>
      <c r="BC76" s="5" t="n"/>
    </row>
    <row r="77">
      <c r="A77" s="5" t="inlineStr">
        <is>
          <t>npv_post</t>
        </is>
      </c>
      <c r="B77" s="5">
        <f>IF(_zbwnle&gt;25,"运营期超25年·请用网页版测算",NPV(_zch3hk,_z671aw)-_z6ga35)</f>
        <v/>
      </c>
      <c r="C77" s="5" t="n"/>
      <c r="D77" s="5" t="n"/>
      <c r="E77" s="5" t="n"/>
      <c r="F77" s="5" t="n"/>
      <c r="G77" s="5" t="n"/>
      <c r="H77" s="5" t="n"/>
      <c r="I77" s="5" t="n"/>
      <c r="J77" s="5" t="n"/>
      <c r="K77" s="5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  <c r="AC77" s="5" t="n"/>
      <c r="AD77" s="5" t="n"/>
      <c r="AE77" s="5" t="n"/>
      <c r="AF77" s="5" t="n"/>
      <c r="AG77" s="5" t="n"/>
      <c r="AH77" s="5" t="n"/>
      <c r="AI77" s="5" t="n"/>
      <c r="AJ77" s="5" t="n"/>
      <c r="AK77" s="5" t="n"/>
      <c r="AL77" s="5" t="n"/>
      <c r="AM77" s="5" t="n"/>
      <c r="AN77" s="5" t="n"/>
      <c r="AO77" s="5" t="n"/>
      <c r="AP77" s="5" t="n"/>
      <c r="AQ77" s="5" t="n"/>
      <c r="AR77" s="5" t="n"/>
      <c r="AS77" s="5" t="n"/>
      <c r="AT77" s="5" t="n"/>
      <c r="AU77" s="5" t="n"/>
      <c r="AV77" s="5" t="n"/>
      <c r="AW77" s="5" t="n"/>
      <c r="AX77" s="5" t="n"/>
      <c r="AY77" s="5" t="n"/>
      <c r="AZ77" s="5" t="n"/>
      <c r="BA77" s="5" t="n"/>
      <c r="BB77" s="5" t="n"/>
      <c r="BC77" s="5" t="n"/>
    </row>
    <row r="78">
      <c r="A78" s="5" t="inlineStr">
        <is>
          <t>payback</t>
        </is>
      </c>
      <c r="B78" s="5">
        <f>IF(_zbwnle&gt;25,"运营期超25年·请用网页版测算",IFERROR(MATCH(1,_zrmajy,0)-2+ABS(INDEX(_zmznvd,MATCH(1,_zrmajy,0)-1))/INDEX(_zka85g,MATCH(1,_zrmajy,0)),"超运营期"))</f>
        <v/>
      </c>
      <c r="C78" s="5" t="n"/>
      <c r="D78" s="5" t="n"/>
      <c r="E78" s="5" t="n"/>
      <c r="F78" s="5" t="n"/>
      <c r="G78" s="5" t="n"/>
      <c r="H78" s="5" t="n"/>
      <c r="I78" s="5" t="n"/>
      <c r="J78" s="5" t="n"/>
      <c r="K78" s="5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  <c r="AC78" s="5" t="n"/>
      <c r="AD78" s="5" t="n"/>
      <c r="AE78" s="5" t="n"/>
      <c r="AF78" s="5" t="n"/>
      <c r="AG78" s="5" t="n"/>
      <c r="AH78" s="5" t="n"/>
      <c r="AI78" s="5" t="n"/>
      <c r="AJ78" s="5" t="n"/>
      <c r="AK78" s="5" t="n"/>
      <c r="AL78" s="5" t="n"/>
      <c r="AM78" s="5" t="n"/>
      <c r="AN78" s="5" t="n"/>
      <c r="AO78" s="5" t="n"/>
      <c r="AP78" s="5" t="n"/>
      <c r="AQ78" s="5" t="n"/>
      <c r="AR78" s="5" t="n"/>
      <c r="AS78" s="5" t="n"/>
      <c r="AT78" s="5" t="n"/>
      <c r="AU78" s="5" t="n"/>
      <c r="AV78" s="5" t="n"/>
      <c r="AW78" s="5" t="n"/>
      <c r="AX78" s="5" t="n"/>
      <c r="AY78" s="5" t="n"/>
      <c r="AZ78" s="5" t="n"/>
      <c r="BA78" s="5" t="n"/>
      <c r="BB78" s="5" t="n"/>
      <c r="BC78" s="5" t="n"/>
    </row>
    <row r="79">
      <c r="A79" s="5" t="inlineStr">
        <is>
          <t>lcoe</t>
        </is>
      </c>
      <c r="B79" s="5">
        <f>IF(_zbwnle&gt;25,"运营期超25年·请用网页版测算",IF(NPV(_zch3hk,_za10l5)&gt;0,(_z2dg1x+NPV(_zch3hk,_zt4bk0)-_zk1wd3/(1+_zch3hk)^_zx5hja)/NPV(_zch3hk,_za10l5),"—"))</f>
        <v/>
      </c>
      <c r="C79" s="5" t="n"/>
      <c r="D79" s="5" t="n"/>
      <c r="E79" s="5" t="n"/>
      <c r="F79" s="5" t="n"/>
      <c r="G79" s="5" t="n"/>
      <c r="H79" s="5" t="n"/>
      <c r="I79" s="5" t="n"/>
      <c r="J79" s="5" t="n"/>
      <c r="K79" s="5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  <c r="AC79" s="5" t="n"/>
      <c r="AD79" s="5" t="n"/>
      <c r="AE79" s="5" t="n"/>
      <c r="AF79" s="5" t="n"/>
      <c r="AG79" s="5" t="n"/>
      <c r="AH79" s="5" t="n"/>
      <c r="AI79" s="5" t="n"/>
      <c r="AJ79" s="5" t="n"/>
      <c r="AK79" s="5" t="n"/>
      <c r="AL79" s="5" t="n"/>
      <c r="AM79" s="5" t="n"/>
      <c r="AN79" s="5" t="n"/>
      <c r="AO79" s="5" t="n"/>
      <c r="AP79" s="5" t="n"/>
      <c r="AQ79" s="5" t="n"/>
      <c r="AR79" s="5" t="n"/>
      <c r="AS79" s="5" t="n"/>
      <c r="AT79" s="5" t="n"/>
      <c r="AU79" s="5" t="n"/>
      <c r="AV79" s="5" t="n"/>
      <c r="AW79" s="5" t="n"/>
      <c r="AX79" s="5" t="n"/>
      <c r="AY79" s="5" t="n"/>
      <c r="AZ79" s="5" t="n"/>
      <c r="BA79" s="5" t="n"/>
      <c r="BB79" s="5" t="n"/>
      <c r="BC79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介子九维 JIEZIJIUWEI</dc:creator>
  <dc:title>光伏自发自用经济测算 v1.0</dc:title>
  <dc:description>本工具由介子九维（JIEZIJIUWEI）制作并享有著作权。</dc:description>
  <dc:subject>新能源测算工具箱</dc:subject>
  <dcterms:created xsi:type="dcterms:W3CDTF">2026-07-07T16:45:46Z</dcterms:created>
  <dcterms:modified xsi:type="dcterms:W3CDTF">2026-07-07T16:45:46Z</dcterms:modified>
  <cp:lastModifiedBy>介子九维 JIEZIJIUWEI</cp:lastModifiedBy>
</cp:coreProperties>
</file>