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workbookPassword="F07E"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总览" sheetId="2" state="visible" r:id="rId2"/>
    <sheet xmlns:r="http://schemas.openxmlformats.org/officeDocument/2006/relationships" name="_参数" sheetId="3" state="veryHidden" r:id="rId3"/>
    <sheet xmlns:r="http://schemas.openxmlformats.org/officeDocument/2006/relationships" name="测算" sheetId="4" state="visible" r:id="rId4"/>
    <sheet xmlns:r="http://schemas.openxmlformats.org/officeDocument/2006/relationships" name="_引擎" sheetId="5" state="veryHidden" r:id="rId5"/>
  </sheets>
  <definedNames>
    <definedName name="_z3dy4z">'_参数'!$B$2:$D$2</definedName>
    <definedName name="_z7qs7z">'_参数'!$B$3:$D$3</definedName>
    <definedName name="_zs8gul">'_参数'!$B$4:$J$4</definedName>
    <definedName name="_z7rtb0">'_参数'!$B$5:$J$5</definedName>
    <definedName name="_zx3hze">'_参数'!$B$6:$J$6</definedName>
    <definedName name="_zg5rek">'_参数'!$B$7:$J$7</definedName>
    <definedName name="_zvd8oo">'_参数'!$B$8:$J$8</definedName>
    <definedName name="_z8uul7">'_参数'!$B$9:$J$9</definedName>
    <definedName name="_zmd2n1">'_参数'!$B$10:$J$10</definedName>
    <definedName name="_zrss8w">'_参数'!$B$11:$J$11</definedName>
    <definedName name="_zxylnr">'_参数'!$B$12:$J$12</definedName>
    <definedName name="_zcmix6">'_参数'!$B$13:$J$13</definedName>
    <definedName name="_zc9vmb">'_参数'!$B$14:$J$14</definedName>
    <definedName name="_zmt7yq">'_参数'!$B$15:$J$15</definedName>
    <definedName name="_zgrhmu">'_参数'!$B$16:$J$16</definedName>
    <definedName name="_z2124k">'_参数'!$B$17:$J$17</definedName>
    <definedName name="_zqq9kl">'_参数'!$B$18:$J$18</definedName>
    <definedName name="_z24fjs">'_参数'!$B$19:$J$19</definedName>
    <definedName name="_zziz19">'_参数'!$B$20:$J$20</definedName>
    <definedName name="_zg9g0j">'_参数'!$B$21:$J$21</definedName>
    <definedName name="_zpq4om">'_参数'!$B$22:$J$22</definedName>
    <definedName name="_zs2zbw">'_参数'!$B$23:$J$23</definedName>
    <definedName name="_zjyrt0">'_参数'!$B$24:$J$24</definedName>
    <definedName name="_zy9h20">'_参数'!$B$25:$J$25</definedName>
    <definedName name="_zvhtq5">'_参数'!$B$26:$J$26</definedName>
    <definedName name="_z8a1yw">'_参数'!$B$27:$J$27</definedName>
    <definedName name="_zw9i4c">'_参数'!$B$28:$J$28</definedName>
    <definedName name="_z83gdf">'_参数'!$B$29:$J$29</definedName>
    <definedName name="_zrngfq">'_参数'!$B$30:$J$30</definedName>
    <definedName name="_z34nes">'_参数'!$B$31:$J$31</definedName>
    <definedName name="_zsyvua">'_参数'!$B$32:$J$32</definedName>
    <definedName name="_ztu197">'_参数'!$B$33:$J$33</definedName>
    <definedName name="_zdz3nh">'_参数'!$B$34:$J$34</definedName>
    <definedName name="_z59qak">'_参数'!$B$35:$J$35</definedName>
    <definedName name="_z7g7nz">'_参数'!$B$36:$J$36</definedName>
    <definedName name="_zuo7z3">'_参数'!$B$37:$J$37</definedName>
    <definedName name="_zkdmvf">'_参数'!$B$38:$D$38</definedName>
    <definedName name="_zt1gjv">'_参数'!$B$39:$D$39</definedName>
    <definedName name="_zobook">'测算'!$C$5</definedName>
    <definedName name="_zhoj8r">'测算'!$C$7</definedName>
    <definedName name="_zqeqjw">'测算'!$C$11</definedName>
    <definedName name="_zzg0id">'测算'!$C$12</definedName>
    <definedName name="_zv2cfz">'测算'!$C$13</definedName>
    <definedName name="_zqixf0">'测算'!$C$14</definedName>
    <definedName name="_zh76h3">'测算'!$C$15</definedName>
    <definedName name="_zcyms1">'测算'!$C$16</definedName>
    <definedName name="_zghrhb">'测算'!$C$17</definedName>
    <definedName name="_zecdlb">'测算'!$C$20</definedName>
    <definedName name="_z75lzf">'测算'!$C$21</definedName>
    <definedName name="_zh30bl">'测算'!$C$22</definedName>
    <definedName name="_zfbc18">'测算'!$C$23</definedName>
    <definedName name="_zlghw4">'测算'!$C$24</definedName>
    <definedName name="_zzd9na">'测算'!$C$27</definedName>
    <definedName name="_zks9j8">'测算'!$C$28</definedName>
    <definedName name="_zx0gw6">'测算'!$C$29</definedName>
    <definedName name="_z9rhi7">'测算'!$C$30</definedName>
    <definedName name="_zva2xn">'测算'!$C$31</definedName>
    <definedName name="_z1sub1">'测算'!$C$32</definedName>
    <definedName name="_zk03a3">'测算'!$C$33</definedName>
    <definedName name="_zlt415">'测算'!$C$34</definedName>
    <definedName name="_z2vg7y">'测算'!$C$35</definedName>
    <definedName name="_z1ltt4">'测算'!$C$36</definedName>
    <definedName name="_zy5ipr">'_引擎'!$B$2</definedName>
    <definedName name="_zflqft">'_引擎'!$B$3</definedName>
    <definedName name="_zx9tbe">'_引擎'!$B$4</definedName>
    <definedName name="_z39asj">'_引擎'!$B$5</definedName>
    <definedName name="_zdj37c">'_引擎'!$B$6</definedName>
    <definedName name="_zv9i5q">'_引擎'!$B$7</definedName>
    <definedName name="_zbr0hi">'_引擎'!$B$8</definedName>
    <definedName name="_zy2ig8">'_引擎'!$B$9</definedName>
    <definedName name="_z0ernh">'_引擎'!$B$10</definedName>
    <definedName name="_zhfuoj">'_引擎'!$B$11</definedName>
    <definedName name="_zpjfi7">'_引擎'!$B$12</definedName>
    <definedName name="_z8pux7">'_引擎'!$B$13</definedName>
    <definedName name="_zzcemp">'_引擎'!$B$14</definedName>
    <definedName name="_zpo09w">'_引擎'!$B$15</definedName>
    <definedName name="_z6l4ri">'_引擎'!$B$16</definedName>
    <definedName name="_zdd3mz">'_引擎'!$B$17</definedName>
    <definedName name="_z2y4dt">'_引擎'!$B$18</definedName>
    <definedName name="_zmkp8w">'_引擎'!$B$19</definedName>
    <definedName name="_zmbbnb">'_引擎'!$B$20</definedName>
    <definedName name="_z3wzt4">'_引擎'!$B$21</definedName>
    <definedName name="_zbx4ou">'_引擎'!$B$22</definedName>
    <definedName name="_zisdds">'_引擎'!$B$23</definedName>
    <definedName name="_zgk3lw">'_引擎'!$B$24</definedName>
    <definedName name="_zriby8">'_引擎'!$B$25</definedName>
    <definedName name="_zbpwff">'_引擎'!$B$26</definedName>
    <definedName name="_z7m6d8">'_引擎'!$B$27</definedName>
    <definedName name="_ziv1gc">'_引擎'!$B$28</definedName>
    <definedName name="_zz1w2z">'_引擎'!$B$29</definedName>
    <definedName name="_zq1zhk">'_引擎'!$B$30</definedName>
    <definedName name="_zq9jto">'_引擎'!$B$31</definedName>
    <definedName name="_z31n7i">'_引擎'!$B$32</definedName>
    <definedName name="_z4zxd3">'_引擎'!$B$33</definedName>
    <definedName name="_z35787">'_引擎'!$B$34</definedName>
    <definedName name="_zm0jdo">'_引擎'!$B$35</definedName>
    <definedName name="_z37tkh">'_引擎'!$B$36</definedName>
    <definedName name="_z9ck23">'_引擎'!$B$37</definedName>
    <definedName name="_zaapf6">'_引擎'!$B$38</definedName>
    <definedName name="_zkh06o">'_引擎'!$B$39</definedName>
    <definedName name="_z517d3">'_引擎'!$B$40</definedName>
    <definedName name="_z4p8is">'_引擎'!$B$41</definedName>
    <definedName name="_zka9am">'_引擎'!$B$42</definedName>
    <definedName name="_z1tt59">'_引擎'!$B$43</definedName>
    <definedName name="_zrzkf6">'_引擎'!$B$44</definedName>
    <definedName name="_zx5hja">'_引擎'!$B$45</definedName>
    <definedName name="_zn0hoh">'_引擎'!$B$46</definedName>
    <definedName name="_zmqr32">'_引擎'!$B$47</definedName>
    <definedName name="_z2al7i">'_引擎'!$B$48</definedName>
    <definedName name="_zgsfrl">'_引擎'!$B$49</definedName>
    <definedName name="_zbb0h1">'_引擎'!$B$50</definedName>
    <definedName name="_zh2s1v">'_引擎'!$B$51</definedName>
    <definedName name="_zxo0o2">'_引擎'!$B$52</definedName>
    <definedName name="_zk7d33">'_引擎'!$B$53</definedName>
    <definedName name="_zupe8l">'_引擎'!$B$54</definedName>
    <definedName name="_z0jo6h">'_引擎'!$B$55</definedName>
    <definedName name="_zkfhzg">'_引擎'!$B$56</definedName>
    <definedName name="_z4gfqk">'_引擎'!$B$57</definedName>
    <definedName name="_zk1wd3">'_引擎'!$B$58</definedName>
    <definedName name="_ztfkfy">'_引擎'!$B$59</definedName>
    <definedName name="_zmztd5">'_引擎'!$B$60</definedName>
    <definedName name="_z9arcc">'_引擎'!$AQ$64:$AQ$89</definedName>
    <definedName name="_ze1s6n">'_引擎'!$AR$64:$AR$89</definedName>
    <definedName name="_zfbj01">'_引擎'!$AS$64:$AS$89</definedName>
    <definedName name="_zeuabd">'_引擎'!$AT$64:$AT$89</definedName>
    <definedName name="_z4ca63">'_引擎'!$AU$64:$AU$89</definedName>
    <definedName name="_zxlxm4">'_引擎'!$AV$64:$AV$89</definedName>
    <definedName name="_zxzots">'_引擎'!$AW$64:$AW$89</definedName>
    <definedName name="_zo2cnc">'_引擎'!$AX$64:$AX$89</definedName>
    <definedName name="_zlo46y">'_引擎'!$AR$65:$AR$89</definedName>
    <definedName name="_zgl7j8">'_引擎'!$AY$65:$AY$89</definedName>
    <definedName name="_zzgx74">'_引擎'!$AZ$65:$AZ$89</definedName>
    <definedName name="_zc53rh">'_引擎'!$A$64:$A$89</definedName>
    <definedName name="_zsqbm8">'_引擎'!$B$91</definedName>
    <definedName name="_zzj3wj">'_引擎'!$B$92</definedName>
    <definedName name="_zqsho0">'_引擎'!$B$93</definedName>
    <definedName name="_zpy13v">'_引擎'!$B$94</definedName>
    <definedName name="_zxdbxd">'_引擎'!$B$95</definedName>
    <definedName name="_ztsxiq">'_引擎'!$B$96</definedName>
    <definedName name="_zvfwiv">'_引擎'!$B$97</definedName>
    <definedName name="_z3ewnh">'_引擎'!$B$98</definedName>
    <definedName name="_z2tbwe">'_引擎'!$B$99</definedName>
    <definedName name="_z8sr6o">'_引擎'!$B$100</definedName>
    <definedName name="_z3lcbu">'_引擎'!$B$101</definedName>
    <definedName name="_z4kqsx">'_引擎'!$B$102</definedName>
    <definedName name="_zehl1m">'_引擎'!$B$103</definedName>
    <definedName name="_JZJW_ORIGIN" hidden="1">"JIEZIJIUWEI-2026-V1"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0###"/>
    <numFmt numFmtId="165" formatCode="0.######%"/>
    <numFmt numFmtId="166" formatCode="#,##0.0"/>
    <numFmt numFmtId="167" formatCode="0.0000"/>
    <numFmt numFmtId="168" formatCode="0.0%"/>
    <numFmt numFmtId="169" formatCode="0.000"/>
    <numFmt numFmtId="170" formatCode="0.0"/>
  </numFmts>
  <fonts count="11">
    <font>
      <name val="Calibri"/>
      <family val="2"/>
      <color theme="1"/>
      <sz val="11"/>
      <scheme val="minor"/>
    </font>
    <font>
      <name val="微软雅黑"/>
      <b val="1"/>
      <color rgb="001A1A1A"/>
      <sz val="16"/>
    </font>
    <font>
      <name val="微软雅黑"/>
      <color rgb="007F7F7F"/>
      <sz val="9"/>
    </font>
    <font>
      <name val="微软雅黑"/>
      <b val="1"/>
      <color rgb="001F3864"/>
      <sz val="10"/>
    </font>
    <font>
      <name val="微软雅黑"/>
      <color rgb="001A1A1A"/>
      <sz val="10"/>
    </font>
    <font>
      <name val="微软雅黑"/>
      <b val="1"/>
      <color rgb="001A1A1A"/>
      <sz val="13"/>
    </font>
    <font>
      <name val="微软雅黑"/>
      <b val="1"/>
      <color rgb="00FFFFFF"/>
      <sz val="10"/>
    </font>
    <font>
      <name val="微软雅黑"/>
      <b val="1"/>
      <color rgb="000000C0"/>
      <sz val="10"/>
    </font>
    <font>
      <name val="微软雅黑"/>
      <b val="1"/>
      <color rgb="00BF8F00"/>
      <sz val="9"/>
    </font>
    <font>
      <name val="微软雅黑"/>
      <color rgb="007F7F7F"/>
      <sz val="10"/>
    </font>
    <font>
      <name val="微软雅黑"/>
      <b val="1"/>
      <color rgb="001A1A1A"/>
      <sz val="22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7E0"/>
      </patternFill>
    </fill>
  </fills>
  <borders count="24">
    <border>
      <left/>
      <right/>
      <top/>
      <bottom/>
      <diagonal/>
    </border>
    <border>
      <bottom style="medium">
        <color rgb="001F3864"/>
      </bottom>
    </border>
    <border>
      <bottom style="thin">
        <color rgb="001F3864"/>
      </bottom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  <border>
      <bottom style="thin">
        <color rgb="00D9D9D9"/>
      </bottom>
    </border>
    <border>
      <left style="thin">
        <color rgb="00BFBFBF"/>
      </left>
      <top style="thin">
        <color rgb="00BFBFBF"/>
      </top>
      <bottom style="hair">
        <color rgb="00D9D9D9"/>
      </bottom>
    </border>
    <border>
      <top style="thin">
        <color rgb="00BFBFBF"/>
      </top>
      <bottom style="hair">
        <color rgb="00D9D9D9"/>
      </bottom>
    </border>
    <border>
      <right style="thin">
        <color rgb="00BFBFBF"/>
      </right>
      <top style="thin">
        <color rgb="00BFBFBF"/>
      </top>
      <bottom style="hair">
        <color rgb="00D9D9D9"/>
      </bottom>
    </border>
    <border>
      <left style="thin">
        <color rgb="00BFBFBF"/>
      </left>
      <bottom style="hair">
        <color rgb="00D9D9D9"/>
      </bottom>
    </border>
    <border>
      <bottom style="hair">
        <color rgb="00D9D9D9"/>
      </bottom>
    </border>
    <border>
      <right style="thin">
        <color rgb="00BFBFBF"/>
      </right>
      <bottom style="hair">
        <color rgb="00D9D9D9"/>
      </bottom>
    </border>
    <border>
      <left style="thin">
        <color rgb="00BFBFBF"/>
      </left>
      <bottom style="thin">
        <color rgb="00BFBFBF"/>
      </bottom>
    </border>
    <border>
      <bottom style="thin">
        <color rgb="00BFBFBF"/>
      </bottom>
    </border>
    <border>
      <right style="thin">
        <color rgb="00BFBFBF"/>
      </right>
      <bottom style="thin">
        <color rgb="00BFBFBF"/>
      </bottom>
    </border>
    <border>
      <left style="thin">
        <color rgb="00BFBFBF"/>
      </left>
      <top style="thin">
        <color rgb="00BFBFBF"/>
      </top>
      <bottom style="medium">
        <color rgb="001F3864"/>
      </bottom>
    </border>
    <border>
      <top style="thin">
        <color rgb="00BFBFBF"/>
      </top>
      <bottom style="medium">
        <color rgb="001F3864"/>
      </bottom>
    </border>
    <border>
      <right style="thin">
        <color rgb="00BFBFBF"/>
      </right>
      <top style="thin">
        <color rgb="00BFBFBF"/>
      </top>
      <bottom style="medium">
        <color rgb="001F3864"/>
      </bottom>
    </border>
    <border>
      <left/>
      <right/>
      <top style="medium">
        <color rgb="001F3864"/>
      </top>
      <bottom/>
    </border>
    <border>
      <left/>
      <right/>
      <top/>
      <bottom style="hair">
        <color rgb="00D9D9D9"/>
      </bottom>
    </border>
    <border>
      <left/>
      <right style="hair">
        <color rgb="00D9D9D9"/>
      </right>
      <top style="medium">
        <color rgb="001F3864"/>
      </top>
      <bottom/>
    </border>
    <border>
      <left/>
      <right style="hair">
        <color rgb="00D9D9D9"/>
      </right>
      <top/>
      <bottom/>
    </border>
    <border>
      <left/>
      <right style="hair">
        <color rgb="00D9D9D9"/>
      </right>
      <top/>
      <bottom style="hair">
        <color rgb="00D9D9D9"/>
      </bottom>
    </border>
    <border>
      <left/>
      <right/>
      <top style="hair">
        <color rgb="00D9D9D9"/>
      </top>
      <bottom/>
    </border>
    <border>
      <left/>
      <right/>
      <top style="hair">
        <color rgb="00D9D9D9"/>
      </top>
      <bottom/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0" borderId="0" applyProtection="1" pivotButton="0" quotePrefix="0" xfId="0">
      <protection locked="1" hidden="1"/>
    </xf>
    <xf numFmtId="0" fontId="2" fillId="0" borderId="0" applyAlignment="1" applyProtection="1" pivotButton="0" quotePrefix="0" xfId="0">
      <alignment vertical="top" wrapText="1"/>
      <protection locked="1" hidden="1"/>
    </xf>
    <xf numFmtId="0" fontId="3" fillId="0" borderId="0" applyAlignment="1" applyProtection="1" pivotButton="0" quotePrefix="0" xfId="0">
      <alignment vertical="top" wrapText="1"/>
      <protection locked="1" hidden="1"/>
    </xf>
    <xf numFmtId="0" fontId="4" fillId="0" borderId="0" applyAlignment="1" applyProtection="1" pivotButton="0" quotePrefix="0" xfId="0">
      <alignment vertical="top" wrapText="1"/>
      <protection locked="1" hidden="1"/>
    </xf>
    <xf numFmtId="0" fontId="0" fillId="0" borderId="0" applyProtection="1" pivotButton="0" quotePrefix="0" xfId="0">
      <protection locked="1" hidden="1"/>
    </xf>
    <xf numFmtId="0" fontId="1" fillId="0" borderId="0" applyAlignment="1" applyProtection="1" pivotButton="0" quotePrefix="0" xfId="0">
      <alignment horizontal="left" vertical="center"/>
      <protection locked="1" hidden="1"/>
    </xf>
    <xf numFmtId="0" fontId="9" fillId="0" borderId="0" applyAlignment="1" applyProtection="1" pivotButton="0" quotePrefix="0" xfId="0">
      <alignment horizontal="right" vertical="center"/>
      <protection locked="1" hidden="1"/>
    </xf>
    <xf numFmtId="0" fontId="2" fillId="0" borderId="0" applyAlignment="1" applyProtection="1" pivotButton="0" quotePrefix="0" xfId="0">
      <alignment horizontal="left" vertical="center"/>
      <protection locked="1" hidden="1"/>
    </xf>
    <xf numFmtId="0" fontId="2" fillId="0" borderId="17" applyAlignment="1" applyProtection="1" pivotButton="0" quotePrefix="0" xfId="0">
      <alignment horizontal="center" vertical="center"/>
      <protection locked="1" hidden="1"/>
    </xf>
    <xf numFmtId="0" fontId="0" fillId="0" borderId="17" applyProtection="1" pivotButton="0" quotePrefix="0" xfId="0">
      <protection locked="1" hidden="1"/>
    </xf>
    <xf numFmtId="0" fontId="0" fillId="0" borderId="19" applyProtection="1" pivotButton="0" quotePrefix="0" xfId="0">
      <protection locked="1" hidden="1"/>
    </xf>
    <xf numFmtId="169" fontId="10" fillId="0" borderId="0" applyAlignment="1" applyProtection="1" pivotButton="0" quotePrefix="0" xfId="0">
      <alignment horizontal="center" vertical="center"/>
      <protection locked="1" hidden="1"/>
    </xf>
    <xf numFmtId="0" fontId="0" fillId="0" borderId="20" applyProtection="1" pivotButton="0" quotePrefix="0" xfId="0">
      <protection locked="1" hidden="1"/>
    </xf>
    <xf numFmtId="10" fontId="10" fillId="0" borderId="0" applyAlignment="1" applyProtection="1" pivotButton="0" quotePrefix="0" xfId="0">
      <alignment horizontal="center" vertical="center"/>
      <protection locked="1" hidden="1"/>
    </xf>
    <xf numFmtId="170" fontId="10" fillId="0" borderId="0" applyAlignment="1" applyProtection="1" pivotButton="0" quotePrefix="0" xfId="0">
      <alignment horizontal="center" vertical="center"/>
      <protection locked="1" hidden="1"/>
    </xf>
    <xf numFmtId="3" fontId="10" fillId="0" borderId="0" applyAlignment="1" applyProtection="1" pivotButton="0" quotePrefix="0" xfId="0">
      <alignment horizontal="center" vertical="center"/>
      <protection locked="1" hidden="1"/>
    </xf>
    <xf numFmtId="0" fontId="2" fillId="0" borderId="18" applyAlignment="1" applyProtection="1" pivotButton="0" quotePrefix="0" xfId="0">
      <alignment horizontal="center" vertical="center"/>
      <protection locked="1" hidden="1"/>
    </xf>
    <xf numFmtId="0" fontId="0" fillId="0" borderId="18" applyProtection="1" pivotButton="0" quotePrefix="0" xfId="0">
      <protection locked="1" hidden="1"/>
    </xf>
    <xf numFmtId="0" fontId="0" fillId="0" borderId="21" applyProtection="1" pivotButton="0" quotePrefix="0" xfId="0">
      <protection locked="1" hidden="1"/>
    </xf>
    <xf numFmtId="0" fontId="2" fillId="0" borderId="22" applyAlignment="1" applyProtection="1" pivotButton="0" quotePrefix="0" xfId="0">
      <alignment horizontal="left" vertical="center"/>
      <protection locked="1" hidden="1"/>
    </xf>
    <xf numFmtId="0" fontId="0" fillId="0" borderId="23" applyProtection="1" pivotButton="0" quotePrefix="0" xfId="0">
      <protection locked="1" hidden="1"/>
    </xf>
    <xf numFmtId="0" fontId="2" fillId="0" borderId="22" applyAlignment="1" applyProtection="1" pivotButton="0" quotePrefix="0" xfId="0">
      <alignment horizontal="right" vertical="center"/>
      <protection locked="1" hidden="1"/>
    </xf>
    <xf numFmtId="0" fontId="5" fillId="0" borderId="0" applyProtection="1" pivotButton="0" quotePrefix="0" xfId="0">
      <protection locked="1" hidden="1"/>
    </xf>
    <xf numFmtId="0" fontId="2" fillId="0" borderId="0" applyProtection="1" pivotButton="0" quotePrefix="0" xfId="0">
      <protection locked="1" hidden="1"/>
    </xf>
    <xf numFmtId="0" fontId="6" fillId="2" borderId="1" applyAlignment="1" applyProtection="1" pivotButton="0" quotePrefix="0" xfId="0">
      <alignment horizontal="center" vertical="center" wrapText="1"/>
      <protection locked="1" hidden="1"/>
    </xf>
    <xf numFmtId="0" fontId="3" fillId="0" borderId="2" applyAlignment="1" applyProtection="1" pivotButton="0" quotePrefix="0" xfId="0">
      <alignment vertical="center"/>
      <protection locked="1" hidden="1"/>
    </xf>
    <xf numFmtId="0" fontId="0" fillId="0" borderId="2" applyProtection="1" pivotButton="0" quotePrefix="0" xfId="0">
      <protection locked="1" hidden="1"/>
    </xf>
    <xf numFmtId="0" fontId="4" fillId="0" borderId="5" applyProtection="1" pivotButton="0" quotePrefix="0" xfId="0">
      <protection locked="1" hidden="1"/>
    </xf>
    <xf numFmtId="10" fontId="4" fillId="0" borderId="6" applyAlignment="1" applyProtection="1" pivotButton="0" quotePrefix="0" xfId="0">
      <alignment horizontal="right"/>
      <protection locked="1" hidden="1"/>
    </xf>
    <xf numFmtId="0" fontId="2" fillId="0" borderId="7" applyProtection="1" pivotButton="0" quotePrefix="0" xfId="0">
      <protection locked="1" hidden="1"/>
    </xf>
    <xf numFmtId="0" fontId="4" fillId="0" borderId="0" applyProtection="1" pivotButton="0" quotePrefix="0" xfId="0">
      <protection locked="1" hidden="1"/>
    </xf>
    <xf numFmtId="0" fontId="7" fillId="3" borderId="3" applyAlignment="1" applyProtection="1" pivotButton="0" quotePrefix="0" xfId="0">
      <alignment horizontal="center"/>
      <protection locked="0" hidden="0"/>
    </xf>
    <xf numFmtId="0" fontId="4" fillId="0" borderId="8" applyProtection="1" pivotButton="0" quotePrefix="0" xfId="0">
      <protection locked="1" hidden="1"/>
    </xf>
    <xf numFmtId="10" fontId="4" fillId="0" borderId="9" applyAlignment="1" applyProtection="1" pivotButton="0" quotePrefix="0" xfId="0">
      <alignment horizontal="right"/>
      <protection locked="1" hidden="1"/>
    </xf>
    <xf numFmtId="0" fontId="2" fillId="0" borderId="10" applyProtection="1" pivotButton="0" quotePrefix="0" xfId="0">
      <protection locked="1" hidden="1"/>
    </xf>
    <xf numFmtId="0" fontId="2" fillId="0" borderId="0" applyAlignment="1" applyProtection="1" pivotButton="0" quotePrefix="0" xfId="0">
      <alignment wrapText="1"/>
      <protection locked="1" hidden="1"/>
    </xf>
    <xf numFmtId="166" fontId="4" fillId="0" borderId="9" applyAlignment="1" applyProtection="1" pivotButton="0" quotePrefix="0" xfId="0">
      <alignment horizontal="right"/>
      <protection locked="1" hidden="1"/>
    </xf>
    <xf numFmtId="2" fontId="4" fillId="0" borderId="9" applyAlignment="1" applyProtection="1" pivotButton="0" quotePrefix="0" xfId="0">
      <alignment horizontal="right"/>
      <protection locked="1" hidden="1"/>
    </xf>
    <xf numFmtId="167" fontId="4" fillId="0" borderId="9" applyAlignment="1" applyProtection="1" pivotButton="0" quotePrefix="0" xfId="0">
      <alignment horizontal="right"/>
      <protection locked="1" hidden="1"/>
    </xf>
    <xf numFmtId="164" fontId="7" fillId="3" borderId="3" applyAlignment="1" applyProtection="1" pivotButton="0" quotePrefix="0" xfId="0">
      <alignment horizontal="right"/>
      <protection locked="0" hidden="0"/>
    </xf>
    <xf numFmtId="0" fontId="4" fillId="0" borderId="11" applyProtection="1" pivotButton="0" quotePrefix="0" xfId="0">
      <protection locked="1" hidden="1"/>
    </xf>
    <xf numFmtId="168" fontId="4" fillId="0" borderId="12" applyAlignment="1" applyProtection="1" pivotButton="0" quotePrefix="0" xfId="0">
      <alignment horizontal="right"/>
      <protection locked="1" hidden="1"/>
    </xf>
    <xf numFmtId="0" fontId="2" fillId="0" borderId="13" applyProtection="1" pivotButton="0" quotePrefix="0" xfId="0">
      <protection locked="1" hidden="1"/>
    </xf>
    <xf numFmtId="168" fontId="4" fillId="0" borderId="4" applyAlignment="1" applyProtection="1" pivotButton="0" quotePrefix="0" xfId="0">
      <alignment horizontal="right"/>
      <protection locked="1" hidden="1"/>
    </xf>
    <xf numFmtId="0" fontId="4" fillId="0" borderId="4" applyAlignment="1" applyProtection="1" pivotButton="0" quotePrefix="0" xfId="0">
      <alignment horizontal="center"/>
      <protection locked="1" hidden="1"/>
    </xf>
    <xf numFmtId="165" fontId="7" fillId="3" borderId="3" applyAlignment="1" applyProtection="1" pivotButton="0" quotePrefix="0" xfId="0">
      <alignment horizontal="right"/>
      <protection locked="0" hidden="0"/>
    </xf>
    <xf numFmtId="0" fontId="7" fillId="3" borderId="3" applyAlignment="1" applyProtection="1" pivotButton="0" quotePrefix="0" xfId="0">
      <alignment horizontal="right"/>
      <protection locked="0" hidden="0"/>
    </xf>
    <xf numFmtId="166" fontId="4" fillId="0" borderId="4" applyAlignment="1" applyProtection="1" pivotButton="0" quotePrefix="0" xfId="0">
      <alignment horizontal="right"/>
      <protection locked="1" hidden="1"/>
    </xf>
    <xf numFmtId="167" fontId="4" fillId="0" borderId="4" applyAlignment="1" applyProtection="1" pivotButton="0" quotePrefix="0" xfId="0">
      <alignment horizontal="right"/>
      <protection locked="1" hidden="1"/>
    </xf>
    <xf numFmtId="0" fontId="8" fillId="0" borderId="0" applyProtection="1" pivotButton="0" quotePrefix="0" xfId="0">
      <protection locked="1" hidden="1"/>
    </xf>
    <xf numFmtId="0" fontId="6" fillId="2" borderId="14" applyAlignment="1" applyProtection="1" pivotButton="0" quotePrefix="0" xfId="0">
      <alignment horizontal="center" vertical="center" wrapText="1"/>
      <protection locked="1" hidden="1"/>
    </xf>
    <xf numFmtId="0" fontId="6" fillId="2" borderId="15" applyAlignment="1" applyProtection="1" pivotButton="0" quotePrefix="0" xfId="0">
      <alignment horizontal="center" vertical="center" wrapText="1"/>
      <protection locked="1" hidden="1"/>
    </xf>
    <xf numFmtId="0" fontId="6" fillId="2" borderId="16" applyAlignment="1" applyProtection="1" pivotButton="0" quotePrefix="0" xfId="0">
      <alignment horizontal="center" vertical="center" wrapText="1"/>
      <protection locked="1" hidden="1"/>
    </xf>
    <xf numFmtId="1" fontId="4" fillId="0" borderId="8" applyAlignment="1" applyProtection="1" pivotButton="0" quotePrefix="0" xfId="0">
      <alignment horizontal="right"/>
      <protection locked="1" hidden="1"/>
    </xf>
    <xf numFmtId="166" fontId="4" fillId="0" borderId="10" applyAlignment="1" applyProtection="1" pivotButton="0" quotePrefix="0" xfId="0">
      <alignment horizontal="right"/>
      <protection locked="1" hidden="1"/>
    </xf>
    <xf numFmtId="1" fontId="4" fillId="0" borderId="11" applyAlignment="1" applyProtection="1" pivotButton="0" quotePrefix="0" xfId="0">
      <alignment horizontal="right"/>
      <protection locked="1" hidden="1"/>
    </xf>
    <xf numFmtId="166" fontId="4" fillId="0" borderId="12" applyAlignment="1" applyProtection="1" pivotButton="0" quotePrefix="0" xfId="0">
      <alignment horizontal="right"/>
      <protection locked="1" hidden="1"/>
    </xf>
    <xf numFmtId="166" fontId="4" fillId="0" borderId="13" applyAlignment="1" applyProtection="1" pivotButton="0" quotePrefix="0" xfId="0">
      <alignment horizontal="right"/>
      <protection locked="1" hidden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C00000"/>
        </patternFill>
      </fill>
    </dxf>
    <dxf>
      <fill>
        <patternFill patternType="solid">
          <fgColor rgb="00E2EF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运营期净现金流与累计回收（万元）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逐年税后净现金流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'测算'!$B$71:$B$95</f>
            </numRef>
          </cat>
          <val>
            <numRef>
              <f>'测算'!$J$71:$J$95</f>
            </numRef>
          </val>
        </ser>
        <gapWidth val="40"/>
        <axId val="10"/>
        <axId val="100"/>
      </barChart>
      <lineChart>
        <grouping val="standard"/>
        <ser>
          <idx val="1"/>
          <order val="1"/>
          <tx>
            <v>累计税后净现金流</v>
          </tx>
          <spPr>
            <a:ln xmlns:a="http://schemas.openxmlformats.org/drawingml/2006/main" w="28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'测算'!$K$71:$K$95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TickMark val="none"/>
        <minorTickMark val="none"/>
        <crossAx val="10"/>
      </valAx>
      <valAx>
        <axId val="200"/>
        <scaling>
          <orientation val="minMax"/>
        </scaling>
        <axPos val="l"/>
        <majorGridlines/>
        <majorTickMark val="none"/>
        <minorTickMark val="none"/>
        <crossAx val="10"/>
        <crosses val="max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首年收益构成（万元）</a:t>
            </a:r>
          </a:p>
        </rich>
      </tx>
      <overlay val="0"/>
    </title>
    <plotArea>
      <barChart>
        <barDir val="bar"/>
        <grouping val="clustered"/>
        <ser>
          <idx val="0"/>
          <order val="0"/>
          <tx>
            <v>首年收益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'测算'!$G$40:$G$46</f>
            </numRef>
          </cat>
          <val>
            <numRef>
              <f>'测算'!$H$40:$H$46</f>
            </numRef>
          </val>
        </ser>
        <dLbls>
          <numFmt formatCode="#,##0"/>
          <dLblPos val="outEnd"/>
          <showLegendKey val="0"/>
          <showVal val="1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综合到户电价对比（元/kWh）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综合到户电价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'测算'!$G$64:$G$65</f>
            </numRef>
          </cat>
          <val>
            <numRef>
              <f>'测算'!$H$64:$H$65</f>
            </numRef>
          </val>
        </ser>
        <dLbls>
          <numFmt formatCode="0.000"/>
          <dLblPos val="outEnd"/>
          <showLegendKey val="0"/>
          <showVal val="1"/>
          <showCatName val="0"/>
          <showSerName val="0"/>
          <showPercent val="0"/>
          <showBubbleSize val="0"/>
        </dLbls>
        <gapWidth val="8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  <min val="0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投资构成（%）</a:t>
            </a:r>
          </a:p>
        </rich>
      </tx>
      <overlay val="0"/>
    </title>
    <plotArea>
      <doughnutChart>
        <varyColors val="1"/>
        <ser>
          <idx val="0"/>
          <order val="0"/>
          <tx>
            <v>投资构成</v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F3864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2E5090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5B7FB4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8FA9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BFD0E4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00000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E0A0A0"/>
              </a:solidFill>
              <a:ln xmlns:a="http://schemas.openxmlformats.org/drawingml/2006/main">
                <a:prstDash val="solid"/>
              </a:ln>
            </spPr>
          </dPt>
          <cat>
            <numRef>
              <f>'测算'!$G$52:$G$58</f>
            </numRef>
          </cat>
          <val>
            <numRef>
              <f>'测算'!$H$52:$H$58</f>
            </numRef>
          </val>
        </ser>
        <dLbls>
          <numFmt formatCode="0.0%"/>
          <showLegendKey val="0"/>
          <showVal val="0"/>
          <showCatName val="0"/>
          <showSerName val="0"/>
          <showPercent val="1"/>
          <showBubbleSize val="0"/>
        </dLbls>
        <firstSliceAng val="0"/>
        <holeSize val="55"/>
      </doughnutChart>
    </plotArea>
    <legend>
      <legendPos val="r"/>
    </legend>
    <plotVisOnly val="0"/>
    <dispBlanksAs val="gap"/>
  </chart>
</chartSpace>
</file>

<file path=xl/comments/comment1.xml><?xml version="1.0" encoding="utf-8"?>
<comments xmlns="http://schemas.openxmlformats.org/spreadsheetml/2006/main">
  <authors>
    <author>介子九维 JIEZIJIUWEI</author>
  </authors>
  <commentList>
    <comment ref="C5" authorId="0" shapeId="0">
      <text>
        <t>电量结构与费用结构（首年电量平衡、购电费、需量电费与收益分项）按典型日逐小时调度模拟预先算定，三个电价场景覆盖代理购电、市场化购电与按容量计费三种路径；电价场景与「典型日负荷形态」两个选项各自独立，任意组合均已预设结果。场景内的投资、融资、折旧、税务、折现等财务参数均可在下方自由调整。需要其他电价路径或资产组合时，请使用介子九维小程序在线测算。</t>
      </text>
    </comment>
    <comment ref="C7" authorId="0" shapeId="0">
      <text>
        <t>典型日日内负荷曲线的形态，决定储能充放时序、需量峰值与峰谷套利空间。白天生产型负荷集中于白班、与光伏出力叠合度高；晚高峰型负荷晚间抬升、晚间需量峰值最高；连续三班型 24 小时平直、需量峰值最低。三种形态各自按逐小时调度模拟预先算定电量与费用结构，切换后收益分项、需量电费与财务指标随之重算。</t>
      </text>
    </comment>
    <comment ref="C11" authorId="0" shapeId="0">
      <text>
        <t>光伏单位造价（EPC全包）。
示例：3.0 元/W</t>
      </text>
    </comment>
    <comment ref="C12" authorId="0" shapeId="0">
      <text>
        <t>风电单位造价。
示例：4.0~5.0 元/W</t>
      </text>
    </comment>
    <comment ref="C13" authorId="0" shapeId="0">
      <text>
        <t>储能单位造价（按容量计）。
示例：1.0 元/Wh</t>
      </text>
    </comment>
    <comment ref="C14" authorId="0" shapeId="0">
      <text>
        <t>柴发单位造价。
示例：0.5 元/W</t>
      </text>
    </comment>
    <comment ref="C15" authorId="0" shapeId="0">
      <text>
        <t>充电桩建设投资总额。
示例：300 万元</t>
      </text>
    </comment>
    <comment ref="C16" authorId="0" shapeId="0">
      <text>
        <t>微电网配电工程、监控保护等其他投资。
示例：800 万元</t>
      </text>
    </comment>
    <comment ref="G16" authorId="0" shapeId="0">
      <text>
        <t>《关于开展工业绿色微电网建设的通知》（工信厅联节〔2025〕77号，2025年发布）：新建可再生能源年就近就地自消纳原则上不低于60%</t>
      </text>
    </comment>
    <comment ref="C17" authorId="0" shapeId="0">
      <text>
        <t>其他电源投资总额。
无则填0</t>
      </text>
    </comment>
    <comment ref="G17" authorId="0" shapeId="0">
      <text>
        <t>参照《关于加快推动新型储能和智能微电网发展的指导意见》（发改能源〔2024〕1339号）口径</t>
      </text>
    </comment>
    <comment ref="G18" authorId="0" shapeId="0">
      <text>
        <t>选择就近消纳（发改价格〔2025〕1192号）路径时适用</t>
      </text>
    </comment>
    <comment ref="C20" authorId="0" shapeId="0">
      <text>
        <t>可再生电源年出力衰减率，作用于自发自用节省、余电上网与环境价值等随出力变动的收益项。</t>
      </text>
    </comment>
    <comment ref="C21" authorId="0" shapeId="0">
      <text>
        <t>储能达到循环寿命、需整体更换的年份。磷酸铁锂储能典型可用约10~15年，按实际选型与循环工况填写。
示例：第12年
更换支出当年全额费用化税前扣除，其进项税当年补入抵扣池，现金流出按含税全额。</t>
      </text>
    </comment>
    <comment ref="C22" authorId="0" shapeId="0">
      <text>
        <t>储能更换费用相对储能初始投资的比例（分母是储能这一项的初始投资，不含光伏、风电等其它投资）。更换费用＝储能初始投资×本比例，在更换年份当年一次性计入现金流，不逐年分摊。电池价格逐年下降，通常取初装投资的折扣值。
示例：50%（第12年按储能初投资的一半计更换成本）</t>
      </text>
    </comment>
    <comment ref="C23" authorId="0" shapeId="0">
      <text>
        <t>年运维费占总投资比例。行业惯例值，可按企业实际情况修改。
示例：1.5%</t>
      </text>
    </comment>
    <comment ref="C24" authorId="0" shapeId="0">
      <text>
        <t>年保险费占总投资比例。行业惯例值，可按企业实际情况修改。
示例：0.25%</t>
      </text>
    </comment>
    <comment ref="C27" authorId="0" shapeId="0">
      <text>
        <t>资本金占总投资比例。
示例：30%</t>
      </text>
    </comment>
    <comment ref="C28" authorId="0" shapeId="0">
      <text>
        <t>长期贷款年利率（等额本息）。行业惯例值，可按企业实际情况修改。
示例：4.5%</t>
      </text>
    </comment>
    <comment ref="C29" authorId="0" shapeId="0">
      <text>
        <t>贷款年限。
示例：15 年
贷款年限宜不大于运营期，超出部分的未偿本金将在运营期末一次性扣减资本金现金流。</t>
      </text>
    </comment>
    <comment ref="C30" authorId="0" shapeId="0">
      <text>
        <t>运营期（财务评价期）。
示例：25 年
本工作簿现金流表最长支持25年。</t>
      </text>
    </comment>
    <comment ref="C31" authorId="0" shapeId="0">
      <text>
        <t>折旧年限（年限平均法）。行业惯例值，可按企业实际情况修改。
示例：20 年
年折旧额分母恒用税法折旧年限；计提年限不超过运营期，期末未折旧账面净值随余值一并回收。</t>
      </text>
    </comment>
    <comment ref="C32" authorId="0" shapeId="0">
      <text>
        <t>期末残值率。行业惯例值，可按企业实际情况修改。
示例：5%</t>
      </text>
    </comment>
    <comment ref="C33" authorId="0" shapeId="0">
      <text>
        <t>企业所得税率。
示例：25%
当年应纳税所得额为负时按税法结转以后五个年度弥补。</t>
      </text>
    </comment>
    <comment ref="C34" authorId="0" shapeId="0">
      <text>
        <t>三免三减半优惠（依据《关于公布公共基础设施项目企业所得税优惠目录（2008年版）的通知》（财税〔2008〕116号，2008年9月8日印发）目录）。注意：优惠按可再生投资占比近似分摊；备案制光伏适用性存在地区争议，正式测算前与主管税务机关确认。
默认开启（含风险提示）
本工作簿按近似口径处理：优惠只作用于光伏、风电投资对应的份额（按投资占比分摊），储能、充电桩、柴发与配电投资不在优惠目录、不享受优惠。</t>
      </text>
    </comment>
    <comment ref="C35" authorId="0" shapeId="0">
      <text>
        <t>建设投资中可形成增值税进项税抵扣的比例（进项税池 = 总投资 × 该比例，折旧计税基数为总投资扣除进项税池）。设备购置进项税按13%税率抵扣，建筑安装按9%，综合比例取决于分项投资构成，上限为13/113（约11.5%）。示例值待核，请按分项投资估算表核实。
示例：10%</t>
      </text>
    </comment>
    <comment ref="C36" authorId="0" shapeId="0">
      <text>
        <t>财务基准收益率（折现率），用于NPV、动态回收期与LCOE。发电项目现行无官方基准值（《关于调整部分行业建设项目财务基准收益率的通知》（发改投资〔2013〕586号，2013年3月15日印发）仅调整了电网），微电网亦无专门行业基准，默认6%为行业惯例值，可按企业实际情况修改，行业可比参照普遍不低于6%。
示例：6%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1</col>
      <colOff>0</colOff>
      <row>7</row>
      <rowOff>0</rowOff>
    </from>
    <ext cx="12024000" cy="3096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24</row>
      <rowOff>0</rowOff>
    </from>
    <ext cx="3528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24</row>
      <rowOff>0</rowOff>
    </from>
    <ext cx="3528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17</col>
      <colOff>0</colOff>
      <row>24</row>
      <rowOff>0</rowOff>
    </from>
    <ext cx="3744000" cy="288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6" customWidth="1" min="2" max="2"/>
  </cols>
  <sheetData>
    <row r="1"/>
    <row r="2">
      <c r="B2" s="1" t="inlineStr">
        <is>
          <t>智能微电网经济评价 v2.1 · 介子九维 JIEZIJIUWEI</t>
        </is>
      </c>
    </row>
    <row r="3" ht="30" customHeight="1">
      <c r="B3" s="2" t="inlineStr">
        <is>
          <t>版本 v2.0 · 2026年7月8日 · 本版容量补偿电价按省级公布值0.0705元/kWh计（鲁发改能源〔2025〕875号），代理购电场景的电量费用结构随之更新。</t>
        </is>
      </c>
    </row>
    <row r="4">
      <c r="B4" s="3" t="inlineStr">
        <is>
          <t>分层测算说明</t>
        </is>
      </c>
    </row>
    <row r="5" ht="60" customHeight="1">
      <c r="B5" s="4" t="inlineStr">
        <is>
          <t>电量结构与费用结构（首年电量平衡、购电费、需量电费与收益七分项）按12个月×工作日/休息日共24个典型日的逐小时调度模拟预先算定，收入「测算」表。3个电价场景与3种典型日负荷形态两个选项各自独立、任意组合均已预设结果，用两个下拉选择；场景内的投资、融资、折旧、税务、折现等财务参数均可自由调整，全簿公式即时重算。需要其他电价路径、负荷曲线或资产组合时，请使用介子九维小程序在线测算。</t>
        </is>
      </c>
    </row>
    <row r="6">
      <c r="B6" s="4" t="inlineStr"/>
    </row>
    <row r="7">
      <c r="B7" s="3" t="inlineStr">
        <is>
          <t>电价场景</t>
        </is>
      </c>
    </row>
    <row r="8">
      <c r="B8" s="4" t="inlineStr">
        <is>
          <t>场景1　参考算例（代理购电·按需量）：山东并网型园区微电网，电网代理购电分时电价，需量计费；引擎参考算例原参数。</t>
        </is>
      </c>
    </row>
    <row r="9">
      <c r="B9" s="4" t="inlineStr">
        <is>
          <t>场景2　市场化购电（按需量）：同一资产与负荷，改为市场化交易购电（各档市场购电价+输配等平加），需量计费。</t>
        </is>
      </c>
    </row>
    <row r="10">
      <c r="B10" s="4" t="inlineStr">
        <is>
          <t>场景3　代理购电（按容量计费）：同一资产与负荷，代理购电路径，现行容（需）量电费改按变压器容量计费。</t>
        </is>
      </c>
    </row>
    <row r="11">
      <c r="B11" s="4" t="inlineStr"/>
    </row>
    <row r="12">
      <c r="B12" s="3" t="inlineStr">
        <is>
          <t>典型日负荷形态</t>
        </is>
      </c>
    </row>
    <row r="13">
      <c r="B13" s="4" t="inlineStr">
        <is>
          <t>白天生产型：负荷集中于白班，与光伏出力叠合度高，日间需量峰值明显。</t>
        </is>
      </c>
    </row>
    <row r="14">
      <c r="B14" s="4" t="inlineStr">
        <is>
          <t>晚高峰型：负荷晚间抬升，储能放电价值前移，晚间需量峰值最高。</t>
        </is>
      </c>
    </row>
    <row r="15">
      <c r="B15" s="4" t="inlineStr">
        <is>
          <t>连续三班型：24小时平直负荷，需量峰值最低，光伏与负荷叠合度较弱。</t>
        </is>
      </c>
    </row>
    <row r="16" ht="30" customHeight="1">
      <c r="B16" s="2" t="inlineStr">
        <is>
          <t>负荷形态改变日内24小时负荷曲线，进而改变储能充放时序、需量峰值与峰谷套利空间，对应的电量、费用与收益分项随之变化；光伏出力曲线不随负荷形态变。</t>
        </is>
      </c>
    </row>
    <row r="17" ht="30" customHeight="1">
      <c r="B17" s="2" t="inlineStr">
        <is>
          <t>各典型场景的资产配置相同（光伏10MW、储能5MW/10MWh、柴发2MW备用、年负荷6000万kWh并配200万kWh充电桩），场景差异仅在购电价格路径、容（需）量电费计费方式与典型日负荷形态。</t>
        </is>
      </c>
    </row>
    <row r="18">
      <c r="B18" s="4" t="inlineStr"/>
    </row>
    <row r="19">
      <c r="B19" s="3" t="inlineStr">
        <is>
          <t>使用方法</t>
        </is>
      </c>
    </row>
    <row r="20">
      <c r="B20" s="4" t="inlineStr">
        <is>
          <t>第一步：在「测算」表选择电价场景与典型日负荷形态，并按项目实际修改投资造价与财务参数（黄底单元格）。</t>
        </is>
      </c>
    </row>
    <row r="21">
      <c r="B21" s="4" t="inlineStr">
        <is>
          <t>第二步：查看结果区的关键指标、合规参考、收益构成与逐年现金流，全簿公式即时重算。</t>
        </is>
      </c>
    </row>
    <row r="22">
      <c r="B22" s="4" t="inlineStr">
        <is>
          <t>第三步：需要留存比对的方案，将本文件另存副本后再改参数，避免覆盖原方案。</t>
        </is>
      </c>
    </row>
    <row r="23">
      <c r="B23" s="4" t="inlineStr"/>
    </row>
    <row r="24">
      <c r="B24" s="3" t="inlineStr">
        <is>
          <t>测算口径</t>
        </is>
      </c>
    </row>
    <row r="25" ht="75" customHeight="1">
      <c r="B25" s="4" t="inlineStr">
        <is>
          <t>财务评价采用融资前（全投资）与融资后（资本金）双口径现金流；投资按含税全额期初流出，对外部收入（余电上网、充电服务费）计增值税销项并以进项池抵扣；折旧计税基数不含可抵扣进项税，年折旧额分母恒用税法折旧年限，期末回收固定资产余值（残值与未折旧账面净值）；储能更换当年费用化税前扣除、进项税补入抵扣池；亏损按税法结转以后五个年度弥补，全投资与资本金口径各设独立亏损池；三免三减半优惠按光伏、风电投资占比份额化。调峰辅助服务收益不建模（现货连续运行地区调峰品种退出，防止与峰谷套利重复计算）。</t>
        </is>
      </c>
    </row>
    <row r="26">
      <c r="B26" s="4" t="inlineStr"/>
    </row>
    <row r="27">
      <c r="B27" s="3" t="inlineStr">
        <is>
          <t>版权与使用许可</t>
        </is>
      </c>
    </row>
    <row r="28">
      <c r="B28" s="4" t="inlineStr">
        <is>
          <t>本工具由介子九维（JIEZIJIUWEI）制作并享有著作权。</t>
        </is>
      </c>
    </row>
    <row r="29">
      <c r="B29" s="4" t="inlineStr">
        <is>
          <t>本工具免费提供给个人与企业内部评估使用，欢迎转发分享。</t>
        </is>
      </c>
    </row>
    <row r="30">
      <c r="B30" s="4" t="inlineStr">
        <is>
          <t>转发分享时请保留工具中的署名标识；不得售卖本工具，不得将其作为商业产品的组成部分再分发。</t>
        </is>
      </c>
    </row>
    <row r="31">
      <c r="B31" s="4" t="inlineStr">
        <is>
          <t>最新版本可通过微信公众号「介子九维」获取。</t>
        </is>
      </c>
    </row>
    <row r="32">
      <c r="B32" s="4" t="inlineStr"/>
    </row>
    <row r="33">
      <c r="B33" s="3" t="inlineStr">
        <is>
          <t>边界与免责</t>
        </is>
      </c>
    </row>
    <row r="34" ht="45" customHeight="1">
      <c r="B34" s="2" t="inlineStr">
        <is>
          <t>边界声明：全模型按不变价测算，收入与成本均不作年度价格增长放大；未计入建设期及建设期利息；未计入流动资金及其回收；贷款年限宜不大于运营期，超出部分的未偿本金在运营期末一次性扣减资本金现金流；回收期按累计现金流首次转正的年度线性插值。</t>
        </is>
      </c>
    </row>
    <row r="35">
      <c r="B35" s="2" t="inlineStr">
        <is>
          <t>结果仅供项目前期研判参考，不构成投资建议；正式决策以主管部门批复口径与项目可行性研究为准。</t>
        </is>
      </c>
    </row>
    <row r="36">
      <c r="B36" s="2" t="inlineStr">
        <is>
          <t>预设参数可直接使用，也可按项目实际逐项修改；正式测算前请结合项目实际核实取值。各参数的含义与填报要点见输入区单元格批注。</t>
        </is>
      </c>
    </row>
    <row r="37" ht="30" customHeight="1">
      <c r="B37" s="2" t="inlineStr">
        <is>
          <t>需求响应补偿标准、充电服务费、余电上网机制电量比例与结算价等场景内嵌参数为演示取值，正式测算前请通过介子九维小程序按项目所在地核实后重新出数。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pageMargins left="0.75" right="0.75" top="1" bottom="1" header="0.5" footer="0.5"/>
  <headerFooter>
    <oddHeader/>
    <oddFooter>&amp;L智能微电网经济评价 v2.1&amp;R介子九维 JIEZIJIUWEI · 版权所有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</cols>
  <sheetData>
    <row r="1" ht="28" customHeight="1">
      <c r="A1" s="5" t="n"/>
      <c r="B1" s="6" t="inlineStr">
        <is>
          <t>智能微电网经济评价 · 总览</t>
        </is>
      </c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7" t="inlineStr">
        <is>
          <t>介子九维 JIEZIJIUWEI</t>
        </is>
      </c>
      <c r="Q1" s="5" t="n"/>
      <c r="R1" s="5" t="n"/>
      <c r="S1" s="5" t="n"/>
      <c r="T1" s="5" t="n"/>
      <c r="U1" s="5" t="n"/>
      <c r="V1" s="5" t="n"/>
    </row>
    <row r="2" ht="13" customHeight="1">
      <c r="A2" s="5" t="n"/>
      <c r="B2" s="8">
        <f>"所选场景下：税后全投资内部收益率 "&amp;TEXT(_z3ewnh,"0.00%")&amp;"，综合到户电价 "&amp;TEXT(_zmbbnb,"0.000")&amp;" 元/kWh，年节省 "&amp;TEXT(_zbx4ou,"#,##0")&amp;" 万元"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</row>
    <row r="3" ht="6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</row>
    <row r="4" ht="15" customHeight="1">
      <c r="A4" s="5" t="n"/>
      <c r="B4" s="9" t="inlineStr">
        <is>
          <t>综合到户电价</t>
        </is>
      </c>
      <c r="C4" s="10" t="n"/>
      <c r="D4" s="10" t="n"/>
      <c r="E4" s="11" t="n"/>
      <c r="F4" s="9" t="inlineStr">
        <is>
          <t>全投资内部收益率（税后）</t>
        </is>
      </c>
      <c r="G4" s="10" t="n"/>
      <c r="H4" s="10" t="n"/>
      <c r="I4" s="11" t="n"/>
      <c r="J4" s="9" t="inlineStr">
        <is>
          <t>资本金内部收益率</t>
        </is>
      </c>
      <c r="K4" s="10" t="n"/>
      <c r="L4" s="10" t="n"/>
      <c r="M4" s="11" t="n"/>
      <c r="N4" s="9" t="inlineStr">
        <is>
          <t>静态回收期</t>
        </is>
      </c>
      <c r="O4" s="10" t="n"/>
      <c r="P4" s="10" t="n"/>
      <c r="Q4" s="11" t="n"/>
      <c r="R4" s="9" t="inlineStr">
        <is>
          <t>年节省额</t>
        </is>
      </c>
      <c r="S4" s="10" t="n"/>
      <c r="T4" s="10" t="n"/>
      <c r="U4" s="10" t="n"/>
      <c r="V4" s="5" t="n"/>
    </row>
    <row r="5" ht="34" customHeight="1">
      <c r="A5" s="5" t="n"/>
      <c r="B5" s="12">
        <f>_zmbbnb</f>
        <v/>
      </c>
      <c r="C5" s="5" t="n"/>
      <c r="D5" s="5" t="n"/>
      <c r="E5" s="13" t="n"/>
      <c r="F5" s="14">
        <f>_z3ewnh</f>
        <v/>
      </c>
      <c r="G5" s="5" t="n"/>
      <c r="H5" s="5" t="n"/>
      <c r="I5" s="13" t="n"/>
      <c r="J5" s="14">
        <f>_z2tbwe</f>
        <v/>
      </c>
      <c r="K5" s="5" t="n"/>
      <c r="L5" s="5" t="n"/>
      <c r="M5" s="13" t="n"/>
      <c r="N5" s="15">
        <f>_z3lcbu</f>
        <v/>
      </c>
      <c r="O5" s="5" t="n"/>
      <c r="P5" s="5" t="n"/>
      <c r="Q5" s="13" t="n"/>
      <c r="R5" s="16">
        <f>_zbx4ou</f>
        <v/>
      </c>
      <c r="S5" s="5" t="n"/>
      <c r="T5" s="5" t="n"/>
      <c r="U5" s="5" t="n"/>
      <c r="V5" s="5" t="n"/>
    </row>
    <row r="6" ht="15" customHeight="1">
      <c r="A6" s="5" t="n"/>
      <c r="B6" s="17" t="inlineStr">
        <is>
          <t>元/kWh</t>
        </is>
      </c>
      <c r="C6" s="18" t="n"/>
      <c r="D6" s="18" t="n"/>
      <c r="E6" s="19" t="n"/>
      <c r="F6" s="17" t="inlineStr">
        <is>
          <t>主评价指标</t>
        </is>
      </c>
      <c r="G6" s="18" t="n"/>
      <c r="H6" s="18" t="n"/>
      <c r="I6" s="19" t="n"/>
      <c r="J6" s="17" t="inlineStr"/>
      <c r="K6" s="18" t="n"/>
      <c r="L6" s="18" t="n"/>
      <c r="M6" s="19" t="n"/>
      <c r="N6" s="17" t="inlineStr">
        <is>
          <t>年</t>
        </is>
      </c>
      <c r="O6" s="18" t="n"/>
      <c r="P6" s="18" t="n"/>
      <c r="Q6" s="19" t="n"/>
      <c r="R6" s="17" t="inlineStr">
        <is>
          <t>万元</t>
        </is>
      </c>
      <c r="S6" s="18" t="n"/>
      <c r="T6" s="18" t="n"/>
      <c r="U6" s="18" t="n"/>
      <c r="V6" s="5" t="n"/>
    </row>
    <row r="7" ht="8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</row>
    <row r="8" ht="15.5" customHeight="1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</row>
    <row r="9" ht="15.5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</row>
    <row r="10" ht="15.5" customHeight="1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</row>
    <row r="11" ht="15.5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</row>
    <row r="12" ht="15.5" customHeight="1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</row>
    <row r="13" ht="15.5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</row>
    <row r="14" ht="15.5" customHeight="1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</row>
    <row r="15" ht="15.5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</row>
    <row r="16" ht="15.5" customHeight="1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</row>
    <row r="17" ht="15.5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</row>
    <row r="18" ht="15.5" customHeight="1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</row>
    <row r="19" ht="15.5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</row>
    <row r="20" ht="15.5" customHeight="1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</row>
    <row r="21" ht="15.5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</row>
    <row r="22" ht="15.5" customHeight="1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</row>
    <row r="23" ht="15.5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</row>
    <row r="24" ht="15.5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</row>
    <row r="25" ht="15.5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</row>
    <row r="26" ht="15.5" customHeight="1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</row>
    <row r="27" ht="15.5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</row>
    <row r="28" ht="15.5" customHeight="1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</row>
    <row r="29" ht="15.5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</row>
    <row r="30" ht="15.5" customHeight="1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</row>
    <row r="31" ht="15.5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</row>
    <row r="32" ht="15.5" customHeight="1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</row>
    <row r="33" ht="15.5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</row>
    <row r="34" ht="15.5" customHeight="1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</row>
    <row r="35" ht="15.5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</row>
    <row r="36" ht="15.5" customHeight="1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</row>
    <row r="37" ht="15.5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</row>
    <row r="38" ht="15.5" customHeight="1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</row>
    <row r="39" ht="15.5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</row>
    <row r="40" ht="15.5" customHeight="1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</row>
    <row r="41" ht="16" customHeight="1">
      <c r="A41" s="5" t="n"/>
      <c r="B41" s="20" t="inlineStr">
        <is>
          <t>结果随「测算」表输入即时更新；测算口径与边界声明见「说明」。</t>
        </is>
      </c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2" t="inlineStr">
        <is>
          <t>介子九维 JIEZIJIUWEI</t>
        </is>
      </c>
      <c r="Q41" s="21" t="n"/>
      <c r="R41" s="21" t="n"/>
      <c r="S41" s="21" t="n"/>
      <c r="T41" s="21" t="n"/>
      <c r="U41" s="21" t="n"/>
      <c r="V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0">
    <mergeCell ref="B41:O41"/>
    <mergeCell ref="B6:E6"/>
    <mergeCell ref="B5:E5"/>
    <mergeCell ref="N6:Q6"/>
    <mergeCell ref="R5:U5"/>
    <mergeCell ref="B4:E4"/>
    <mergeCell ref="F4:I4"/>
    <mergeCell ref="N4:Q4"/>
    <mergeCell ref="B2:U2"/>
    <mergeCell ref="J5:M5"/>
    <mergeCell ref="F6:I6"/>
    <mergeCell ref="B1:O1"/>
    <mergeCell ref="R4:U4"/>
    <mergeCell ref="J6:M6"/>
    <mergeCell ref="F5:I5"/>
    <mergeCell ref="R6:U6"/>
    <mergeCell ref="N5:Q5"/>
    <mergeCell ref="P1:U1"/>
    <mergeCell ref="P41:U41"/>
    <mergeCell ref="J4:M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9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典型场景数据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</row>
    <row r="2">
      <c r="A2" s="5" t="inlineStr">
        <is>
          <t>电价场景</t>
        </is>
      </c>
      <c r="B2" s="5" t="inlineStr">
        <is>
          <t>参考算例（代理购电·按需量）</t>
        </is>
      </c>
      <c r="C2" s="5" t="inlineStr">
        <is>
          <t>市场化购电（按需量）</t>
        </is>
      </c>
      <c r="D2" s="5" t="inlineStr">
        <is>
          <t>代理购电（按容量计费）</t>
        </is>
      </c>
      <c r="E2" s="5" t="n"/>
      <c r="F2" s="5" t="n"/>
      <c r="G2" s="5" t="n"/>
      <c r="H2" s="5" t="n"/>
      <c r="I2" s="5" t="n"/>
      <c r="J2" s="5" t="n"/>
    </row>
    <row r="3">
      <c r="A3" s="5" t="inlineStr">
        <is>
          <t>负荷形态</t>
        </is>
      </c>
      <c r="B3" s="5" t="inlineStr">
        <is>
          <t>白天生产型</t>
        </is>
      </c>
      <c r="C3" s="5" t="inlineStr">
        <is>
          <t>晚高峰型</t>
        </is>
      </c>
      <c r="D3" s="5" t="inlineStr">
        <is>
          <t>连续三班型</t>
        </is>
      </c>
      <c r="E3" s="5" t="n"/>
      <c r="F3" s="5" t="n"/>
      <c r="G3" s="5" t="n"/>
      <c r="H3" s="5" t="n"/>
      <c r="I3" s="5" t="n"/>
      <c r="J3" s="5" t="n"/>
    </row>
    <row r="4">
      <c r="A4" s="5" t="inlineStr">
        <is>
          <t>年可用发电量（万kWh）</t>
        </is>
      </c>
      <c r="B4" s="5" t="n">
        <v>1100</v>
      </c>
      <c r="C4" s="5" t="n">
        <v>1100</v>
      </c>
      <c r="D4" s="5" t="n">
        <v>1100</v>
      </c>
      <c r="E4" s="5" t="n">
        <v>1100</v>
      </c>
      <c r="F4" s="5" t="n">
        <v>1100</v>
      </c>
      <c r="G4" s="5" t="n">
        <v>1100</v>
      </c>
      <c r="H4" s="5" t="n">
        <v>1100</v>
      </c>
      <c r="I4" s="5" t="n">
        <v>1100</v>
      </c>
      <c r="J4" s="5" t="n">
        <v>1100</v>
      </c>
    </row>
    <row r="5">
      <c r="A5" s="5" t="inlineStr">
        <is>
          <t>年自发自用电量（万kWh）</t>
        </is>
      </c>
      <c r="B5" s="5" t="n">
        <v>1100</v>
      </c>
      <c r="C5" s="5" t="n">
        <v>1100</v>
      </c>
      <c r="D5" s="5" t="n">
        <v>1100</v>
      </c>
      <c r="E5" s="5" t="n">
        <v>1100</v>
      </c>
      <c r="F5" s="5" t="n">
        <v>1100</v>
      </c>
      <c r="G5" s="5" t="n">
        <v>1100</v>
      </c>
      <c r="H5" s="5" t="n">
        <v>1100</v>
      </c>
      <c r="I5" s="5" t="n">
        <v>1100</v>
      </c>
      <c r="J5" s="5" t="n">
        <v>1100</v>
      </c>
    </row>
    <row r="6">
      <c r="A6" s="5" t="inlineStr">
        <is>
          <t>年余电上网电量（万kWh）</t>
        </is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</row>
    <row r="7">
      <c r="A7" s="5" t="inlineStr">
        <is>
          <t>年下网购电量（万kWh）</t>
        </is>
      </c>
      <c r="B7" s="5" t="n">
        <v>5492.368543883274</v>
      </c>
      <c r="C7" s="5" t="n">
        <v>5553.299238493542</v>
      </c>
      <c r="D7" s="5" t="n">
        <v>5499.429221344531</v>
      </c>
      <c r="E7" s="5" t="n">
        <v>5492.368543883274</v>
      </c>
      <c r="F7" s="5" t="n">
        <v>5553.299238493542</v>
      </c>
      <c r="G7" s="5" t="n">
        <v>5499.429221344531</v>
      </c>
      <c r="H7" s="5" t="n">
        <v>5558.639999999999</v>
      </c>
      <c r="I7" s="5" t="n">
        <v>5553.299238493542</v>
      </c>
      <c r="J7" s="5" t="n">
        <v>5555.233479852015</v>
      </c>
    </row>
    <row r="8">
      <c r="A8" s="5" t="inlineStr">
        <is>
          <t>柴发年发电量（万kWh）</t>
        </is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  <c r="I8" s="5" t="n">
        <v>0</v>
      </c>
      <c r="J8" s="5" t="n">
        <v>0</v>
      </c>
    </row>
    <row r="9">
      <c r="A9" s="5" t="inlineStr">
        <is>
          <t>储能年放电量（万kWh）</t>
        </is>
      </c>
      <c r="B9" s="5" t="n">
        <v>308.2895701940009</v>
      </c>
      <c r="C9" s="5" t="n">
        <v>356.163687387783</v>
      </c>
      <c r="D9" s="5" t="n">
        <v>313.8372453421325</v>
      </c>
      <c r="E9" s="5" t="n">
        <v>308.2895701940009</v>
      </c>
      <c r="F9" s="5" t="n">
        <v>356.163687387783</v>
      </c>
      <c r="G9" s="5" t="n">
        <v>313.8372453421325</v>
      </c>
      <c r="H9" s="5" t="n">
        <v>360.36</v>
      </c>
      <c r="I9" s="5" t="n">
        <v>356.163687387783</v>
      </c>
      <c r="J9" s="5" t="n">
        <v>357.6834484551545</v>
      </c>
    </row>
    <row r="10">
      <c r="A10" s="5" t="inlineStr">
        <is>
          <t>储能年谷时充电量（万kWh）</t>
        </is>
      </c>
      <c r="B10" s="5" t="n">
        <v>350.3290570386375</v>
      </c>
      <c r="C10" s="5" t="n">
        <v>404.7314629406625</v>
      </c>
      <c r="D10" s="5" t="n">
        <v>356.6332333433323</v>
      </c>
      <c r="E10" s="5" t="n">
        <v>350.3290570386375</v>
      </c>
      <c r="F10" s="5" t="n">
        <v>404.7314629406625</v>
      </c>
      <c r="G10" s="5" t="n">
        <v>356.6332333433323</v>
      </c>
      <c r="H10" s="5" t="n">
        <v>409.5000000000001</v>
      </c>
      <c r="I10" s="5" t="n">
        <v>404.7314629406625</v>
      </c>
      <c r="J10" s="5" t="n">
        <v>406.4584641535847</v>
      </c>
    </row>
    <row r="11">
      <c r="A11" s="5" t="inlineStr">
        <is>
          <t>年总用电量（万kWh）</t>
        </is>
      </c>
      <c r="B11" s="5" t="n">
        <v>6200</v>
      </c>
      <c r="C11" s="5" t="n">
        <v>6200</v>
      </c>
      <c r="D11" s="5" t="n">
        <v>6200</v>
      </c>
      <c r="E11" s="5" t="n">
        <v>6200</v>
      </c>
      <c r="F11" s="5" t="n">
        <v>6200</v>
      </c>
      <c r="G11" s="5" t="n">
        <v>6200</v>
      </c>
      <c r="H11" s="5" t="n">
        <v>6200</v>
      </c>
      <c r="I11" s="5" t="n">
        <v>6200</v>
      </c>
      <c r="J11" s="5" t="n">
        <v>6200</v>
      </c>
    </row>
    <row r="12">
      <c r="A12" s="5" t="inlineStr">
        <is>
          <t>年购电电度费（万元）</t>
        </is>
      </c>
      <c r="B12" s="5" t="n">
        <v>3393.56635661843</v>
      </c>
      <c r="C12" s="5" t="n">
        <v>3723.828066455731</v>
      </c>
      <c r="D12" s="5" t="n">
        <v>3374.004755347149</v>
      </c>
      <c r="E12" s="5" t="n">
        <v>3182.030693449994</v>
      </c>
      <c r="F12" s="5" t="n">
        <v>3409.616839693606</v>
      </c>
      <c r="G12" s="5" t="n">
        <v>3171.879419571774</v>
      </c>
      <c r="H12" s="5" t="n">
        <v>3375.135806019793</v>
      </c>
      <c r="I12" s="5" t="n">
        <v>3727.895563630522</v>
      </c>
      <c r="J12" s="5" t="n">
        <v>3360.568660963866</v>
      </c>
    </row>
    <row r="13">
      <c r="A13" s="5" t="inlineStr">
        <is>
          <t>年需量（容量）电费（万元）</t>
        </is>
      </c>
      <c r="B13" s="5" t="n">
        <v>386.95338689478</v>
      </c>
      <c r="C13" s="5" t="n">
        <v>641.4349997904558</v>
      </c>
      <c r="D13" s="5" t="n">
        <v>342.1440000000001</v>
      </c>
      <c r="E13" s="5" t="n">
        <v>386.95338689478</v>
      </c>
      <c r="F13" s="5" t="n">
        <v>641.4349997904558</v>
      </c>
      <c r="G13" s="5" t="n">
        <v>342.1440000000001</v>
      </c>
      <c r="H13" s="5" t="n">
        <v>316.8</v>
      </c>
      <c r="I13" s="5" t="n">
        <v>316.8</v>
      </c>
      <c r="J13" s="5" t="n">
        <v>316.8</v>
      </c>
    </row>
    <row r="14">
      <c r="A14" s="5" t="inlineStr">
        <is>
          <t>年就近消纳输配电费（万元）</t>
        </is>
      </c>
      <c r="B14" s="5" t="n">
        <v>0</v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0</v>
      </c>
      <c r="H14" s="5" t="n">
        <v>0</v>
      </c>
      <c r="I14" s="5" t="n">
        <v>0</v>
      </c>
      <c r="J14" s="5" t="n">
        <v>0</v>
      </c>
    </row>
    <row r="15">
      <c r="A15" s="5" t="inlineStr">
        <is>
          <t>年政府性基金及附加（万元）</t>
        </is>
      </c>
      <c r="B15" s="5" t="n">
        <v>0</v>
      </c>
      <c r="C15" s="5" t="n">
        <v>0</v>
      </c>
      <c r="D15" s="5" t="n">
        <v>0</v>
      </c>
      <c r="E15" s="5" t="n">
        <v>0</v>
      </c>
      <c r="F15" s="5" t="n">
        <v>0</v>
      </c>
      <c r="G15" s="5" t="n">
        <v>0</v>
      </c>
      <c r="H15" s="5" t="n">
        <v>0</v>
      </c>
      <c r="I15" s="5" t="n">
        <v>0</v>
      </c>
      <c r="J15" s="5" t="n">
        <v>0</v>
      </c>
    </row>
    <row r="16">
      <c r="A16" s="5" t="inlineStr">
        <is>
          <t>柴发年燃料成本（万元）</t>
        </is>
      </c>
      <c r="B16" s="5" t="n">
        <v>30.64285714285715</v>
      </c>
      <c r="C16" s="5" t="n">
        <v>30.64285714285715</v>
      </c>
      <c r="D16" s="5" t="n">
        <v>30.64285714285715</v>
      </c>
      <c r="E16" s="5" t="n">
        <v>30.64285714285715</v>
      </c>
      <c r="F16" s="5" t="n">
        <v>30.64285714285715</v>
      </c>
      <c r="G16" s="5" t="n">
        <v>30.64285714285715</v>
      </c>
      <c r="H16" s="5" t="n">
        <v>30.64285714285715</v>
      </c>
      <c r="I16" s="5" t="n">
        <v>30.64285714285715</v>
      </c>
      <c r="J16" s="5" t="n">
        <v>30.64285714285715</v>
      </c>
    </row>
    <row r="17">
      <c r="A17" s="5" t="inlineStr">
        <is>
          <t>其他电源年成本（万元）</t>
        </is>
      </c>
      <c r="B17" s="5" t="n">
        <v>0</v>
      </c>
      <c r="C17" s="5" t="n">
        <v>0</v>
      </c>
      <c r="D17" s="5" t="n">
        <v>0</v>
      </c>
      <c r="E17" s="5" t="n">
        <v>0</v>
      </c>
      <c r="F17" s="5" t="n">
        <v>0</v>
      </c>
      <c r="G17" s="5" t="n">
        <v>0</v>
      </c>
      <c r="H17" s="5" t="n">
        <v>0</v>
      </c>
      <c r="I17" s="5" t="n">
        <v>0</v>
      </c>
      <c r="J17" s="5" t="n">
        <v>0</v>
      </c>
    </row>
    <row r="18">
      <c r="A18" s="5" t="inlineStr">
        <is>
          <t>年综合用电成本（万元）</t>
        </is>
      </c>
      <c r="B18" s="5" t="n">
        <v>3811.162600656067</v>
      </c>
      <c r="C18" s="5" t="n">
        <v>4395.905923389044</v>
      </c>
      <c r="D18" s="5" t="n">
        <v>3746.791612490006</v>
      </c>
      <c r="E18" s="5" t="n">
        <v>3599.626937487632</v>
      </c>
      <c r="F18" s="5" t="n">
        <v>4081.694696626919</v>
      </c>
      <c r="G18" s="5" t="n">
        <v>3544.666276714631</v>
      </c>
      <c r="H18" s="5" t="n">
        <v>3722.578663162651</v>
      </c>
      <c r="I18" s="5" t="n">
        <v>4075.338420773379</v>
      </c>
      <c r="J18" s="5" t="n">
        <v>3708.011518106724</v>
      </c>
    </row>
    <row r="19">
      <c r="A19" s="5" t="inlineStr">
        <is>
          <t>综合到户电价（元/kWh）</t>
        </is>
      </c>
      <c r="B19" s="5" t="n">
        <v>0.6147036452671076</v>
      </c>
      <c r="C19" s="5" t="n">
        <v>0.7090170844175877</v>
      </c>
      <c r="D19" s="5" t="n">
        <v>0.6043212278209688</v>
      </c>
      <c r="E19" s="5" t="n">
        <v>0.58058498991736</v>
      </c>
      <c r="F19" s="5" t="n">
        <v>0.6583378542946644</v>
      </c>
      <c r="G19" s="5" t="n">
        <v>0.5717203672120373</v>
      </c>
      <c r="H19" s="5" t="n">
        <v>0.6004159134133308</v>
      </c>
      <c r="I19" s="5" t="n">
        <v>0.6573126485118354</v>
      </c>
      <c r="J19" s="5" t="n">
        <v>0.5980663738881812</v>
      </c>
    </row>
    <row r="20">
      <c r="A20" s="5" t="inlineStr">
        <is>
          <t>全量电网供电对照成本（万元）</t>
        </is>
      </c>
      <c r="B20" s="5" t="n">
        <v>4154</v>
      </c>
      <c r="C20" s="5" t="n">
        <v>4154</v>
      </c>
      <c r="D20" s="5" t="n">
        <v>4154</v>
      </c>
      <c r="E20" s="5" t="n">
        <v>4154</v>
      </c>
      <c r="F20" s="5" t="n">
        <v>4154</v>
      </c>
      <c r="G20" s="5" t="n">
        <v>4154</v>
      </c>
      <c r="H20" s="5" t="n">
        <v>4154</v>
      </c>
      <c r="I20" s="5" t="n">
        <v>4154</v>
      </c>
      <c r="J20" s="5" t="n">
        <v>4154</v>
      </c>
    </row>
    <row r="21">
      <c r="A21" s="5" t="inlineStr">
        <is>
          <t>年节省额（万元）</t>
        </is>
      </c>
      <c r="B21" s="5" t="n">
        <v>342.8373993439327</v>
      </c>
      <c r="C21" s="5" t="n">
        <v>-241.9059233890439</v>
      </c>
      <c r="D21" s="5" t="n">
        <v>407.2083875099938</v>
      </c>
      <c r="E21" s="5" t="n">
        <v>554.3730625123681</v>
      </c>
      <c r="F21" s="5" t="n">
        <v>72.30530337308073</v>
      </c>
      <c r="G21" s="5" t="n">
        <v>609.3337232853687</v>
      </c>
      <c r="H21" s="5" t="n">
        <v>431.4213368373494</v>
      </c>
      <c r="I21" s="5" t="n">
        <v>78.66157922662069</v>
      </c>
      <c r="J21" s="5" t="n">
        <v>445.9884818932765</v>
      </c>
    </row>
    <row r="22">
      <c r="A22" s="5" t="inlineStr">
        <is>
          <t>节省率</t>
        </is>
      </c>
      <c r="B22" s="5" t="n">
        <v>0.08253187273566026</v>
      </c>
      <c r="C22" s="5" t="n">
        <v>-0.05823445435460854</v>
      </c>
      <c r="D22" s="5" t="n">
        <v>0.0980280181776586</v>
      </c>
      <c r="E22" s="5" t="n">
        <v>0.1334552389293134</v>
      </c>
      <c r="F22" s="5" t="n">
        <v>0.01740618761990389</v>
      </c>
      <c r="G22" s="5" t="n">
        <v>0.1466860190865115</v>
      </c>
      <c r="H22" s="5" t="n">
        <v>0.1038568456517452</v>
      </c>
      <c r="I22" s="5" t="n">
        <v>0.01893634550472332</v>
      </c>
      <c r="J22" s="5" t="n">
        <v>0.1073636210624161</v>
      </c>
    </row>
    <row r="23">
      <c r="A23" s="5" t="inlineStr">
        <is>
          <t>① 自发自用节省（万元）</t>
        </is>
      </c>
      <c r="B23" s="5" t="n">
        <v>555.6810211232877</v>
      </c>
      <c r="C23" s="5" t="n">
        <v>555.6810211232877</v>
      </c>
      <c r="D23" s="5" t="n">
        <v>555.6810211232877</v>
      </c>
      <c r="E23" s="5" t="n">
        <v>555.1225342465755</v>
      </c>
      <c r="F23" s="5" t="n">
        <v>555.1225342465755</v>
      </c>
      <c r="G23" s="5" t="n">
        <v>555.1225342465755</v>
      </c>
      <c r="H23" s="5" t="n">
        <v>555.6810211232877</v>
      </c>
      <c r="I23" s="5" t="n">
        <v>555.6810211232877</v>
      </c>
      <c r="J23" s="5" t="n">
        <v>555.6810211232877</v>
      </c>
    </row>
    <row r="24">
      <c r="A24" s="5" t="inlineStr">
        <is>
          <t>② 峰谷套利（万元）</t>
        </is>
      </c>
      <c r="B24" s="5" t="n">
        <v>240.2251212619156</v>
      </c>
      <c r="C24" s="5" t="n">
        <v>279.2781161135964</v>
      </c>
      <c r="D24" s="5" t="n">
        <v>249.0150755677987</v>
      </c>
      <c r="E24" s="5" t="n">
        <v>148.8340320463267</v>
      </c>
      <c r="F24" s="5" t="n">
        <v>172.6535661392527</v>
      </c>
      <c r="G24" s="5" t="n">
        <v>154.2118172148591</v>
      </c>
      <c r="H24" s="5" t="n">
        <v>279.0495186</v>
      </c>
      <c r="I24" s="5" t="n">
        <v>277.2443675262006</v>
      </c>
      <c r="J24" s="5" t="n">
        <v>278.5929262088501</v>
      </c>
    </row>
    <row r="25">
      <c r="A25" s="5" t="inlineStr">
        <is>
          <t>③ 需量优化（万元）</t>
        </is>
      </c>
      <c r="B25" s="5" t="n">
        <v>52.25212440388611</v>
      </c>
      <c r="C25" s="5" t="n">
        <v>0</v>
      </c>
      <c r="D25" s="5" t="n">
        <v>0</v>
      </c>
      <c r="E25" s="5" t="n">
        <v>52.25212440388611</v>
      </c>
      <c r="F25" s="5" t="n">
        <v>0</v>
      </c>
      <c r="G25" s="5" t="n">
        <v>0</v>
      </c>
      <c r="H25" s="5" t="n">
        <v>0</v>
      </c>
      <c r="I25" s="5" t="n">
        <v>0</v>
      </c>
      <c r="J25" s="5" t="n">
        <v>0</v>
      </c>
    </row>
    <row r="26">
      <c r="A26" s="5" t="inlineStr">
        <is>
          <t>④ 余电上网（万元）</t>
        </is>
      </c>
      <c r="B26" s="5" t="n">
        <v>0</v>
      </c>
      <c r="C26" s="5" t="n">
        <v>0</v>
      </c>
      <c r="D26" s="5" t="n">
        <v>0</v>
      </c>
      <c r="E26" s="5" t="n">
        <v>0</v>
      </c>
      <c r="F26" s="5" t="n">
        <v>0</v>
      </c>
      <c r="G26" s="5" t="n">
        <v>0</v>
      </c>
      <c r="H26" s="5" t="n">
        <v>0</v>
      </c>
      <c r="I26" s="5" t="n">
        <v>0</v>
      </c>
      <c r="J26" s="5" t="n">
        <v>0</v>
      </c>
    </row>
    <row r="27">
      <c r="A27" s="5" t="inlineStr">
        <is>
          <t>⑤ 需求响应（万元）</t>
        </is>
      </c>
      <c r="B27" s="5" t="n">
        <v>12</v>
      </c>
      <c r="C27" s="5" t="n">
        <v>12</v>
      </c>
      <c r="D27" s="5" t="n">
        <v>12</v>
      </c>
      <c r="E27" s="5" t="n">
        <v>12</v>
      </c>
      <c r="F27" s="5" t="n">
        <v>12</v>
      </c>
      <c r="G27" s="5" t="n">
        <v>12</v>
      </c>
      <c r="H27" s="5" t="n">
        <v>12</v>
      </c>
      <c r="I27" s="5" t="n">
        <v>12</v>
      </c>
      <c r="J27" s="5" t="n">
        <v>12</v>
      </c>
    </row>
    <row r="28">
      <c r="A28" s="5" t="inlineStr">
        <is>
          <t>⑥ 充电桩服务费（万元）</t>
        </is>
      </c>
      <c r="B28" s="5" t="n">
        <v>90</v>
      </c>
      <c r="C28" s="5" t="n">
        <v>90</v>
      </c>
      <c r="D28" s="5" t="n">
        <v>90</v>
      </c>
      <c r="E28" s="5" t="n">
        <v>90</v>
      </c>
      <c r="F28" s="5" t="n">
        <v>90</v>
      </c>
      <c r="G28" s="5" t="n">
        <v>90</v>
      </c>
      <c r="H28" s="5" t="n">
        <v>90</v>
      </c>
      <c r="I28" s="5" t="n">
        <v>90</v>
      </c>
      <c r="J28" s="5" t="n">
        <v>90</v>
      </c>
    </row>
    <row r="29">
      <c r="A29" s="5" t="inlineStr">
        <is>
          <t>⑦ 环境价值（单列，万元）</t>
        </is>
      </c>
      <c r="B29" s="5" t="n">
        <v>5.5</v>
      </c>
      <c r="C29" s="5" t="n">
        <v>5.5</v>
      </c>
      <c r="D29" s="5" t="n">
        <v>5.5</v>
      </c>
      <c r="E29" s="5" t="n">
        <v>5.5</v>
      </c>
      <c r="F29" s="5" t="n">
        <v>5.5</v>
      </c>
      <c r="G29" s="5" t="n">
        <v>5.5</v>
      </c>
      <c r="H29" s="5" t="n">
        <v>5.5</v>
      </c>
      <c r="I29" s="5" t="n">
        <v>5.5</v>
      </c>
      <c r="J29" s="5" t="n">
        <v>5.5</v>
      </c>
    </row>
    <row r="30">
      <c r="A30" s="5" t="inlineStr">
        <is>
          <t>自用/可用发电量</t>
        </is>
      </c>
      <c r="B30" s="5" t="n">
        <v>1</v>
      </c>
      <c r="C30" s="5" t="n">
        <v>1</v>
      </c>
      <c r="D30" s="5" t="n">
        <v>1</v>
      </c>
      <c r="E30" s="5" t="n">
        <v>1</v>
      </c>
      <c r="F30" s="5" t="n">
        <v>1</v>
      </c>
      <c r="G30" s="5" t="n">
        <v>1</v>
      </c>
      <c r="H30" s="5" t="n">
        <v>1</v>
      </c>
      <c r="I30" s="5" t="n">
        <v>1</v>
      </c>
      <c r="J30" s="5" t="n">
        <v>1</v>
      </c>
    </row>
    <row r="31">
      <c r="A31" s="5" t="inlineStr">
        <is>
          <t>自用/年用电量</t>
        </is>
      </c>
      <c r="B31" s="5" t="n">
        <v>0.1774193548387097</v>
      </c>
      <c r="C31" s="5" t="n">
        <v>0.1774193548387097</v>
      </c>
      <c r="D31" s="5" t="n">
        <v>0.1774193548387097</v>
      </c>
      <c r="E31" s="5" t="n">
        <v>0.1774193548387097</v>
      </c>
      <c r="F31" s="5" t="n">
        <v>0.1774193548387097</v>
      </c>
      <c r="G31" s="5" t="n">
        <v>0.1774193548387097</v>
      </c>
      <c r="H31" s="5" t="n">
        <v>0.1774193548387097</v>
      </c>
      <c r="I31" s="5" t="n">
        <v>0.1774193548387097</v>
      </c>
      <c r="J31" s="5" t="n">
        <v>0.1774193548387097</v>
      </c>
    </row>
    <row r="32">
      <c r="A32" s="5" t="inlineStr">
        <is>
          <t>可再生装机占比</t>
        </is>
      </c>
      <c r="B32" s="5" t="n">
        <v>0.8333333333333334</v>
      </c>
      <c r="C32" s="5" t="n">
        <v>0.8333333333333334</v>
      </c>
      <c r="D32" s="5" t="n">
        <v>0.8333333333333334</v>
      </c>
      <c r="E32" s="5" t="n">
        <v>0.8333333333333334</v>
      </c>
      <c r="F32" s="5" t="n">
        <v>0.8333333333333334</v>
      </c>
      <c r="G32" s="5" t="n">
        <v>0.8333333333333334</v>
      </c>
      <c r="H32" s="5" t="n">
        <v>0.8333333333333334</v>
      </c>
      <c r="I32" s="5" t="n">
        <v>0.8333333333333334</v>
      </c>
      <c r="J32" s="5" t="n">
        <v>0.8333333333333334</v>
      </c>
    </row>
    <row r="33">
      <c r="A33" s="5" t="inlineStr">
        <is>
          <t>光伏装机（MW）</t>
        </is>
      </c>
      <c r="B33" s="5" t="n">
        <v>10</v>
      </c>
      <c r="C33" s="5" t="n">
        <v>10</v>
      </c>
      <c r="D33" s="5" t="n">
        <v>10</v>
      </c>
      <c r="E33" s="5" t="n">
        <v>10</v>
      </c>
      <c r="F33" s="5" t="n">
        <v>10</v>
      </c>
      <c r="G33" s="5" t="n">
        <v>10</v>
      </c>
      <c r="H33" s="5" t="n">
        <v>10</v>
      </c>
      <c r="I33" s="5" t="n">
        <v>10</v>
      </c>
      <c r="J33" s="5" t="n">
        <v>10</v>
      </c>
    </row>
    <row r="34">
      <c r="A34" s="5" t="inlineStr">
        <is>
          <t>风电装机（MW）</t>
        </is>
      </c>
      <c r="B34" s="5" t="n">
        <v>0</v>
      </c>
      <c r="C34" s="5" t="n">
        <v>0</v>
      </c>
      <c r="D34" s="5" t="n">
        <v>0</v>
      </c>
      <c r="E34" s="5" t="n">
        <v>0</v>
      </c>
      <c r="F34" s="5" t="n">
        <v>0</v>
      </c>
      <c r="G34" s="5" t="n">
        <v>0</v>
      </c>
      <c r="H34" s="5" t="n">
        <v>0</v>
      </c>
      <c r="I34" s="5" t="n">
        <v>0</v>
      </c>
      <c r="J34" s="5" t="n">
        <v>0</v>
      </c>
    </row>
    <row r="35">
      <c r="A35" s="5" t="inlineStr">
        <is>
          <t>储能功率（MW）</t>
        </is>
      </c>
      <c r="B35" s="5" t="n">
        <v>5</v>
      </c>
      <c r="C35" s="5" t="n">
        <v>5</v>
      </c>
      <c r="D35" s="5" t="n">
        <v>5</v>
      </c>
      <c r="E35" s="5" t="n">
        <v>5</v>
      </c>
      <c r="F35" s="5" t="n">
        <v>5</v>
      </c>
      <c r="G35" s="5" t="n">
        <v>5</v>
      </c>
      <c r="H35" s="5" t="n">
        <v>5</v>
      </c>
      <c r="I35" s="5" t="n">
        <v>5</v>
      </c>
      <c r="J35" s="5" t="n">
        <v>5</v>
      </c>
    </row>
    <row r="36">
      <c r="A36" s="5" t="inlineStr">
        <is>
          <t>储能容量（MWh）</t>
        </is>
      </c>
      <c r="B36" s="5" t="n">
        <v>10</v>
      </c>
      <c r="C36" s="5" t="n">
        <v>10</v>
      </c>
      <c r="D36" s="5" t="n">
        <v>10</v>
      </c>
      <c r="E36" s="5" t="n">
        <v>10</v>
      </c>
      <c r="F36" s="5" t="n">
        <v>10</v>
      </c>
      <c r="G36" s="5" t="n">
        <v>10</v>
      </c>
      <c r="H36" s="5" t="n">
        <v>10</v>
      </c>
      <c r="I36" s="5" t="n">
        <v>10</v>
      </c>
      <c r="J36" s="5" t="n">
        <v>10</v>
      </c>
    </row>
    <row r="37">
      <c r="A37" s="5" t="inlineStr">
        <is>
          <t>柴发装机（MW）</t>
        </is>
      </c>
      <c r="B37" s="5" t="n">
        <v>2</v>
      </c>
      <c r="C37" s="5" t="n">
        <v>2</v>
      </c>
      <c r="D37" s="5" t="n">
        <v>2</v>
      </c>
      <c r="E37" s="5" t="n">
        <v>2</v>
      </c>
      <c r="F37" s="5" t="n">
        <v>2</v>
      </c>
      <c r="G37" s="5" t="n">
        <v>2</v>
      </c>
      <c r="H37" s="5" t="n">
        <v>2</v>
      </c>
      <c r="I37" s="5" t="n">
        <v>2</v>
      </c>
      <c r="J37" s="5" t="n">
        <v>2</v>
      </c>
    </row>
    <row r="38">
      <c r="A38" s="5" t="inlineStr">
        <is>
          <t>电价场景说明</t>
        </is>
      </c>
      <c r="B38" s="5" t="inlineStr">
        <is>
          <t>山东并网型园区微电网，电网代理购电分时电价，需量计费；引擎参考算例原参数。</t>
        </is>
      </c>
      <c r="C38" s="5" t="inlineStr">
        <is>
          <t>同一资产与负荷，改为市场化交易购电（各档市场购电价+输配等平加），需量计费。</t>
        </is>
      </c>
      <c r="D38" s="5" t="inlineStr">
        <is>
          <t>同一资产与负荷，代理购电路径，现行容（需）量电费改按变压器容量计费。</t>
        </is>
      </c>
      <c r="E38" s="5" t="n"/>
      <c r="F38" s="5" t="n"/>
      <c r="G38" s="5" t="n"/>
      <c r="H38" s="5" t="n"/>
      <c r="I38" s="5" t="n"/>
      <c r="J38" s="5" t="n"/>
    </row>
    <row r="39">
      <c r="A39" s="5" t="inlineStr">
        <is>
          <t>典型日负荷形态说明</t>
        </is>
      </c>
      <c r="B39" s="5" t="inlineStr">
        <is>
          <t>负荷集中于白班，与光伏出力叠合度高，日间需量峰值明显。</t>
        </is>
      </c>
      <c r="C39" s="5" t="inlineStr">
        <is>
          <t>负荷晚间抬升，储能放电价值前移，晚间需量峰值最高。</t>
        </is>
      </c>
      <c r="D39" s="5" t="inlineStr">
        <is>
          <t>24小时平直负荷，需量峰值最低，光伏与负荷叠合度较弱。</t>
        </is>
      </c>
      <c r="E39" s="5" t="n"/>
      <c r="F39" s="5" t="n"/>
      <c r="G39" s="5" t="n"/>
      <c r="H39" s="5" t="n"/>
      <c r="I39" s="5" t="n"/>
      <c r="J39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9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" customWidth="1" min="1" max="1"/>
    <col width="26" customWidth="1" min="2" max="2"/>
    <col width="14" customWidth="1" min="3" max="3"/>
    <col width="12" customWidth="1" min="4" max="4"/>
    <col width="10" customWidth="1" min="5" max="5"/>
    <col width="10" customWidth="1" min="6" max="6"/>
    <col width="30" customWidth="1" min="7" max="7"/>
    <col width="14" customWidth="1" min="8" max="8"/>
    <col width="12" customWidth="1" min="9" max="9"/>
    <col width="14" customWidth="1" min="10" max="10"/>
    <col width="12" customWidth="1" min="11" max="11"/>
    <col width="13" customWidth="1" min="12" max="12"/>
  </cols>
  <sheetData>
    <row r="1" ht="22" customHeight="1">
      <c r="B1" s="23" t="inlineStr">
        <is>
          <t>智能微电网经济评价 v2.1 · 介子九维 JIEZIJIUWEI</t>
        </is>
      </c>
    </row>
    <row r="2" ht="13" customHeight="1">
      <c r="B2" s="24" t="inlineStr">
        <is>
          <t>输入区（黄底蓝字单元格可修改；单元格批注含填报说明）</t>
        </is>
      </c>
    </row>
    <row r="3" ht="18" customHeight="1">
      <c r="B3" s="25" t="inlineStr">
        <is>
          <t>参数</t>
        </is>
      </c>
      <c r="C3" s="25" t="inlineStr">
        <is>
          <t>数值</t>
        </is>
      </c>
      <c r="D3" s="25" t="inlineStr">
        <is>
          <t>单位</t>
        </is>
      </c>
      <c r="G3" s="26" t="inlineStr">
        <is>
          <t>关键指标</t>
        </is>
      </c>
      <c r="H3" s="27" t="n"/>
      <c r="I3" s="27" t="n"/>
    </row>
    <row r="4" ht="18" customHeight="1">
      <c r="B4" s="26" t="inlineStr">
        <is>
          <t>场景选择</t>
        </is>
      </c>
      <c r="C4" s="27" t="n"/>
      <c r="D4" s="27" t="n"/>
      <c r="G4" s="28" t="inlineStr">
        <is>
          <t>全投资内部收益率（税前）</t>
        </is>
      </c>
      <c r="H4" s="29">
        <f>_zvfwiv</f>
        <v/>
      </c>
      <c r="I4" s="30" t="inlineStr"/>
    </row>
    <row r="5" ht="15.5" customHeight="1">
      <c r="B5" s="31" t="inlineStr">
        <is>
          <t>电价场景</t>
        </is>
      </c>
      <c r="C5" s="32" t="inlineStr">
        <is>
          <t>参考算例（代理购电·按需量）</t>
        </is>
      </c>
      <c r="G5" s="33" t="inlineStr">
        <is>
          <t>全投资内部收益率（税后）</t>
        </is>
      </c>
      <c r="H5" s="34">
        <f>_z3ewnh</f>
        <v/>
      </c>
      <c r="I5" s="35" t="inlineStr">
        <is>
          <t>主评价指标</t>
        </is>
      </c>
    </row>
    <row r="6" ht="15.5" customHeight="1">
      <c r="B6" s="36">
        <f>INDEX(_zkdmvf,MATCH(_zobook,_z3dy4z,0))</f>
        <v/>
      </c>
      <c r="C6" s="5" t="n"/>
      <c r="D6" s="5" t="n"/>
      <c r="E6" s="5" t="n"/>
      <c r="G6" s="33" t="inlineStr">
        <is>
          <t>资本金内部收益率</t>
        </is>
      </c>
      <c r="H6" s="34">
        <f>_z2tbwe</f>
        <v/>
      </c>
      <c r="I6" s="35" t="inlineStr"/>
    </row>
    <row r="7" ht="15.5" customHeight="1">
      <c r="B7" s="31" t="inlineStr">
        <is>
          <t>典型日负荷形态</t>
        </is>
      </c>
      <c r="C7" s="32" t="inlineStr">
        <is>
          <t>白天生产型</t>
        </is>
      </c>
      <c r="G7" s="33" t="inlineStr">
        <is>
          <t>净现值（税后全投资）</t>
        </is>
      </c>
      <c r="H7" s="37">
        <f>_z8sr6o</f>
        <v/>
      </c>
      <c r="I7" s="35" t="inlineStr">
        <is>
          <t>万元</t>
        </is>
      </c>
    </row>
    <row r="8" ht="15.5" customHeight="1">
      <c r="B8" s="36">
        <f>INDEX(_zt1gjv,MATCH(_zhoj8r,_z7qs7z,0))</f>
        <v/>
      </c>
      <c r="C8" s="5" t="n"/>
      <c r="D8" s="5" t="n"/>
      <c r="E8" s="5" t="n"/>
      <c r="G8" s="33" t="inlineStr">
        <is>
          <t>静态回收期</t>
        </is>
      </c>
      <c r="H8" s="38">
        <f>_z3lcbu</f>
        <v/>
      </c>
      <c r="I8" s="35" t="inlineStr">
        <is>
          <t>年</t>
        </is>
      </c>
    </row>
    <row r="9" ht="15.5" customHeight="1">
      <c r="G9" s="33" t="inlineStr">
        <is>
          <t>动态回收期</t>
        </is>
      </c>
      <c r="H9" s="38">
        <f>_z4kqsx</f>
        <v/>
      </c>
      <c r="I9" s="35" t="inlineStr">
        <is>
          <t>年</t>
        </is>
      </c>
    </row>
    <row r="10" ht="18" customHeight="1">
      <c r="B10" s="26" t="inlineStr">
        <is>
          <t>A 投资造价</t>
        </is>
      </c>
      <c r="C10" s="27" t="n"/>
      <c r="D10" s="27" t="n"/>
      <c r="G10" s="33" t="inlineStr">
        <is>
          <t>度电成本 LCOE</t>
        </is>
      </c>
      <c r="H10" s="39">
        <f>_zehl1m</f>
        <v/>
      </c>
      <c r="I10" s="35" t="inlineStr">
        <is>
          <t>元/kWh</t>
        </is>
      </c>
    </row>
    <row r="11" ht="15.5" customHeight="1">
      <c r="B11" s="31" t="inlineStr">
        <is>
          <t>光伏单位造价</t>
        </is>
      </c>
      <c r="C11" s="40" t="n">
        <v>3</v>
      </c>
      <c r="D11" s="24" t="inlineStr">
        <is>
          <t>元/W</t>
        </is>
      </c>
      <c r="G11" s="33" t="inlineStr">
        <is>
          <t>综合到户电价</t>
        </is>
      </c>
      <c r="H11" s="39">
        <f>_zmbbnb</f>
        <v/>
      </c>
      <c r="I11" s="35" t="inlineStr">
        <is>
          <t>元/kWh</t>
        </is>
      </c>
    </row>
    <row r="12" ht="15.5" customHeight="1">
      <c r="B12" s="31" t="inlineStr">
        <is>
          <t>风电单位造价</t>
        </is>
      </c>
      <c r="C12" s="40" t="n">
        <v>4.5</v>
      </c>
      <c r="D12" s="24" t="inlineStr">
        <is>
          <t>元/W</t>
        </is>
      </c>
      <c r="G12" s="33" t="inlineStr">
        <is>
          <t>年节省额（对照全量电网供电）</t>
        </is>
      </c>
      <c r="H12" s="37">
        <f>_zbx4ou</f>
        <v/>
      </c>
      <c r="I12" s="35" t="inlineStr">
        <is>
          <t>万元</t>
        </is>
      </c>
    </row>
    <row r="13" ht="15.5" customHeight="1">
      <c r="B13" s="31" t="inlineStr">
        <is>
          <t>储能单位造价</t>
        </is>
      </c>
      <c r="C13" s="40" t="n">
        <v>1</v>
      </c>
      <c r="D13" s="24" t="inlineStr">
        <is>
          <t>元/Wh</t>
        </is>
      </c>
      <c r="G13" s="41" t="inlineStr">
        <is>
          <t>节省率</t>
        </is>
      </c>
      <c r="H13" s="42">
        <f>_zisdds</f>
        <v/>
      </c>
      <c r="I13" s="43" t="inlineStr"/>
    </row>
    <row r="14" ht="15.5" customHeight="1">
      <c r="B14" s="31" t="inlineStr">
        <is>
          <t>柴发单位造价</t>
        </is>
      </c>
      <c r="C14" s="40" t="n">
        <v>0.5</v>
      </c>
      <c r="D14" s="24" t="inlineStr">
        <is>
          <t>元/W</t>
        </is>
      </c>
    </row>
    <row r="15" ht="18" customHeight="1">
      <c r="B15" s="31" t="inlineStr">
        <is>
          <t>充电桩投资</t>
        </is>
      </c>
      <c r="C15" s="40" t="n">
        <v>300</v>
      </c>
      <c r="D15" s="24" t="inlineStr">
        <is>
          <t>万元</t>
        </is>
      </c>
      <c r="G15" s="26" t="inlineStr">
        <is>
          <t>合规参考（就近就地消纳与可再生占比）</t>
        </is>
      </c>
      <c r="H15" s="27" t="n"/>
      <c r="I15" s="27" t="n"/>
    </row>
    <row r="16" ht="15.5" customHeight="1">
      <c r="B16" s="31" t="inlineStr">
        <is>
          <t>配电工程等其他投资</t>
        </is>
      </c>
      <c r="C16" s="40" t="n">
        <v>800</v>
      </c>
      <c r="D16" s="24" t="inlineStr">
        <is>
          <t>万元</t>
        </is>
      </c>
      <c r="G16" s="31" t="inlineStr">
        <is>
          <t>自用/可用发电量 ≥60%</t>
        </is>
      </c>
      <c r="H16" s="44">
        <f>_zq9jto</f>
        <v/>
      </c>
      <c r="I16" s="45">
        <f>IF(_zq9jto&gt;=0.6,"满足","不满足")</f>
        <v/>
      </c>
    </row>
    <row r="17" ht="15.5" customHeight="1">
      <c r="B17" s="31" t="inlineStr">
        <is>
          <t>其他电源投资</t>
        </is>
      </c>
      <c r="C17" s="40" t="n">
        <v>0</v>
      </c>
      <c r="D17" s="24" t="inlineStr">
        <is>
          <t>万元</t>
        </is>
      </c>
      <c r="G17" s="31" t="inlineStr">
        <is>
          <t>可再生装机占比 ≥50%</t>
        </is>
      </c>
      <c r="H17" s="44">
        <f>_z4zxd3</f>
        <v/>
      </c>
      <c r="I17" s="45">
        <f>IF(_z4zxd3&gt;=0.5,"满足","不满足")</f>
        <v/>
      </c>
    </row>
    <row r="18" ht="15.5" customHeight="1">
      <c r="G18" s="31" t="inlineStr">
        <is>
          <t>自用/年用电量 ≥30%</t>
        </is>
      </c>
      <c r="H18" s="44">
        <f>_z31n7i</f>
        <v/>
      </c>
      <c r="I18" s="45">
        <f>IF(_z31n7i&gt;=0.3,"满足","不满足")</f>
        <v/>
      </c>
    </row>
    <row r="19" ht="18" customHeight="1">
      <c r="B19" s="26" t="inlineStr">
        <is>
          <t>B 运行参数</t>
        </is>
      </c>
      <c r="C19" s="27" t="n"/>
      <c r="D19" s="27" t="n"/>
    </row>
    <row r="20" ht="18" customHeight="1">
      <c r="B20" s="31" t="inlineStr">
        <is>
          <t>年出力衰减率</t>
        </is>
      </c>
      <c r="C20" s="46" t="n">
        <v>0.005</v>
      </c>
      <c r="D20" s="24" t="inlineStr">
        <is>
          <t>%</t>
        </is>
      </c>
      <c r="G20" s="26" t="inlineStr">
        <is>
          <t>首年电量、费用与收益构成（所选场景）</t>
        </is>
      </c>
      <c r="H20" s="27" t="n"/>
      <c r="I20" s="27" t="n"/>
    </row>
    <row r="21" ht="15.5" customHeight="1">
      <c r="B21" s="31" t="inlineStr">
        <is>
          <t>储能更换年份</t>
        </is>
      </c>
      <c r="C21" s="47" t="n">
        <v>12</v>
      </c>
      <c r="D21" s="24" t="inlineStr">
        <is>
          <t>第N年</t>
        </is>
      </c>
      <c r="G21" s="31" t="inlineStr">
        <is>
          <t>年可用发电量（万kWh）</t>
        </is>
      </c>
      <c r="H21" s="48">
        <f>_z39asj</f>
        <v/>
      </c>
    </row>
    <row r="22" ht="15.5" customHeight="1">
      <c r="B22" s="31" t="inlineStr">
        <is>
          <t>更换费用比例</t>
        </is>
      </c>
      <c r="C22" s="46" t="n">
        <v>0.5</v>
      </c>
      <c r="D22" s="24" t="inlineStr">
        <is>
          <t>%</t>
        </is>
      </c>
      <c r="G22" s="31" t="inlineStr">
        <is>
          <t>年自发自用电量（万kWh）</t>
        </is>
      </c>
      <c r="H22" s="48">
        <f>_zdj37c</f>
        <v/>
      </c>
    </row>
    <row r="23" ht="15.5" customHeight="1">
      <c r="B23" s="31" t="inlineStr">
        <is>
          <t>运维费率</t>
        </is>
      </c>
      <c r="C23" s="46" t="n">
        <v>0.015</v>
      </c>
      <c r="D23" s="24" t="inlineStr">
        <is>
          <t>%</t>
        </is>
      </c>
      <c r="G23" s="31" t="inlineStr">
        <is>
          <t>年余电上网电量（万kWh）</t>
        </is>
      </c>
      <c r="H23" s="48">
        <f>_zv9i5q</f>
        <v/>
      </c>
    </row>
    <row r="24" ht="15.5" customHeight="1">
      <c r="B24" s="31" t="inlineStr">
        <is>
          <t>保险费率</t>
        </is>
      </c>
      <c r="C24" s="46" t="n">
        <v>0.0025</v>
      </c>
      <c r="D24" s="24" t="inlineStr">
        <is>
          <t>%</t>
        </is>
      </c>
      <c r="G24" s="31" t="inlineStr">
        <is>
          <t>年下网购电量（万kWh）</t>
        </is>
      </c>
      <c r="H24" s="48">
        <f>_zbr0hi</f>
        <v/>
      </c>
    </row>
    <row r="25" ht="15.5" customHeight="1">
      <c r="G25" s="31" t="inlineStr">
        <is>
          <t>柴发年发电量（万kWh）</t>
        </is>
      </c>
      <c r="H25" s="48">
        <f>_zy2ig8</f>
        <v/>
      </c>
    </row>
    <row r="26" ht="18" customHeight="1">
      <c r="B26" s="26" t="inlineStr">
        <is>
          <t>C 融资与税务</t>
        </is>
      </c>
      <c r="C26" s="27" t="n"/>
      <c r="D26" s="27" t="n"/>
      <c r="G26" s="31" t="inlineStr">
        <is>
          <t>储能年放电量（万kWh）</t>
        </is>
      </c>
      <c r="H26" s="48">
        <f>_z0ernh</f>
        <v/>
      </c>
    </row>
    <row r="27" ht="15.5" customHeight="1">
      <c r="B27" s="31" t="inlineStr">
        <is>
          <t>资本金比例</t>
        </is>
      </c>
      <c r="C27" s="46" t="n">
        <v>0.3</v>
      </c>
      <c r="D27" s="24" t="inlineStr">
        <is>
          <t>%</t>
        </is>
      </c>
      <c r="G27" s="31" t="inlineStr">
        <is>
          <t>储能年谷时充电量（万kWh）</t>
        </is>
      </c>
      <c r="H27" s="48">
        <f>_zhfuoj</f>
        <v/>
      </c>
    </row>
    <row r="28" ht="15.5" customHeight="1">
      <c r="B28" s="31" t="inlineStr">
        <is>
          <t>贷款利率</t>
        </is>
      </c>
      <c r="C28" s="46" t="n">
        <v>0.045</v>
      </c>
      <c r="D28" s="24" t="inlineStr">
        <is>
          <t>%</t>
        </is>
      </c>
      <c r="G28" s="31" t="inlineStr">
        <is>
          <t>年总用电量（万kWh）</t>
        </is>
      </c>
      <c r="H28" s="48">
        <f>_zpjfi7</f>
        <v/>
      </c>
    </row>
    <row r="29" ht="15.5" customHeight="1">
      <c r="B29" s="31" t="inlineStr">
        <is>
          <t>贷款年限</t>
        </is>
      </c>
      <c r="C29" s="47" t="n">
        <v>15</v>
      </c>
      <c r="D29" s="24" t="inlineStr">
        <is>
          <t>年</t>
        </is>
      </c>
      <c r="G29" s="31" t="inlineStr">
        <is>
          <t>年购电电度费（万元）</t>
        </is>
      </c>
      <c r="H29" s="48">
        <f>_z8pux7</f>
        <v/>
      </c>
    </row>
    <row r="30" ht="15.5" customHeight="1">
      <c r="B30" s="31" t="inlineStr">
        <is>
          <t>运营期</t>
        </is>
      </c>
      <c r="C30" s="47" t="n">
        <v>25</v>
      </c>
      <c r="D30" s="24" t="inlineStr">
        <is>
          <t>年</t>
        </is>
      </c>
      <c r="G30" s="31" t="inlineStr">
        <is>
          <t>年需量（容量）电费（万元）</t>
        </is>
      </c>
      <c r="H30" s="48">
        <f>_zzcemp</f>
        <v/>
      </c>
    </row>
    <row r="31" ht="15.5" customHeight="1">
      <c r="B31" s="31" t="inlineStr">
        <is>
          <t>折旧年限</t>
        </is>
      </c>
      <c r="C31" s="47" t="n">
        <v>20</v>
      </c>
      <c r="D31" s="24" t="inlineStr">
        <is>
          <t>年</t>
        </is>
      </c>
      <c r="G31" s="31" t="inlineStr">
        <is>
          <t>年就近消纳输配电费（万元）</t>
        </is>
      </c>
      <c r="H31" s="48">
        <f>_zpo09w</f>
        <v/>
      </c>
    </row>
    <row r="32" ht="15.5" customHeight="1">
      <c r="B32" s="31" t="inlineStr">
        <is>
          <t>残值率</t>
        </is>
      </c>
      <c r="C32" s="46" t="n">
        <v>0.05</v>
      </c>
      <c r="D32" s="24" t="inlineStr">
        <is>
          <t>%</t>
        </is>
      </c>
      <c r="G32" s="31" t="inlineStr">
        <is>
          <t>年政府性基金及附加（万元）</t>
        </is>
      </c>
      <c r="H32" s="48">
        <f>_z6l4ri</f>
        <v/>
      </c>
    </row>
    <row r="33" ht="15.5" customHeight="1">
      <c r="B33" s="31" t="inlineStr">
        <is>
          <t>所得税率</t>
        </is>
      </c>
      <c r="C33" s="46" t="n">
        <v>0.25</v>
      </c>
      <c r="D33" s="24" t="inlineStr">
        <is>
          <t>%</t>
        </is>
      </c>
      <c r="G33" s="31" t="inlineStr">
        <is>
          <t>柴发年燃料成本（万元）</t>
        </is>
      </c>
      <c r="H33" s="48">
        <f>_zdd3mz</f>
        <v/>
      </c>
    </row>
    <row r="34" ht="15.5" customHeight="1">
      <c r="B34" s="31" t="inlineStr">
        <is>
          <t>所得税三免三减半</t>
        </is>
      </c>
      <c r="C34" s="32" t="inlineStr">
        <is>
          <t>是</t>
        </is>
      </c>
      <c r="D34" s="24" t="inlineStr"/>
      <c r="G34" s="31" t="inlineStr">
        <is>
          <t>其他电源年成本（万元）</t>
        </is>
      </c>
      <c r="H34" s="48">
        <f>_z2y4dt</f>
        <v/>
      </c>
    </row>
    <row r="35" ht="15.5" customHeight="1">
      <c r="B35" s="31" t="inlineStr">
        <is>
          <t>可抵扣进项税比例</t>
        </is>
      </c>
      <c r="C35" s="46" t="n">
        <v>0.1</v>
      </c>
      <c r="D35" s="24" t="inlineStr">
        <is>
          <t>%</t>
        </is>
      </c>
      <c r="G35" s="31" t="inlineStr">
        <is>
          <t>年综合用电成本（万元）</t>
        </is>
      </c>
      <c r="H35" s="48">
        <f>_zmkp8w</f>
        <v/>
      </c>
    </row>
    <row r="36" ht="15.5" customHeight="1">
      <c r="B36" s="31" t="inlineStr">
        <is>
          <t>基准折现率</t>
        </is>
      </c>
      <c r="C36" s="46" t="n">
        <v>0.06</v>
      </c>
      <c r="D36" s="24" t="inlineStr">
        <is>
          <t>%</t>
        </is>
      </c>
      <c r="G36" s="31" t="inlineStr">
        <is>
          <t>综合到户电价（元/kWh）</t>
        </is>
      </c>
      <c r="H36" s="49">
        <f>_zmbbnb</f>
        <v/>
      </c>
    </row>
    <row r="37" ht="15.5" customHeight="1">
      <c r="G37" s="31" t="inlineStr">
        <is>
          <t>全量电网供电对照成本（万元）</t>
        </is>
      </c>
      <c r="H37" s="48">
        <f>_z3wzt4</f>
        <v/>
      </c>
    </row>
    <row r="38" ht="15.5" customHeight="1">
      <c r="B38" s="50">
        <f>IF(_z9rhi7&gt;25,"运营期超过25年上限：年度现金流表最长25年，当前结果不完整，请修改运营期或用介子九维小程序测算","")</f>
        <v/>
      </c>
      <c r="G38" s="31" t="inlineStr">
        <is>
          <t>年节省额（万元）</t>
        </is>
      </c>
      <c r="H38" s="48">
        <f>_zbx4ou</f>
        <v/>
      </c>
    </row>
    <row r="39" ht="15.5" customHeight="1">
      <c r="G39" s="31" t="inlineStr">
        <is>
          <t>节省率</t>
        </is>
      </c>
      <c r="H39" s="44">
        <f>_zisdds</f>
        <v/>
      </c>
    </row>
    <row r="40" ht="15.5" customHeight="1">
      <c r="G40" s="31" t="inlineStr">
        <is>
          <t>① 自发自用节省（万元）</t>
        </is>
      </c>
      <c r="H40" s="48">
        <f>_zgk3lw</f>
        <v/>
      </c>
    </row>
    <row r="41" ht="15.5" customHeight="1">
      <c r="G41" s="31" t="inlineStr">
        <is>
          <t>② 峰谷套利（万元）</t>
        </is>
      </c>
      <c r="H41" s="48">
        <f>_zriby8</f>
        <v/>
      </c>
    </row>
    <row r="42" ht="15.5" customHeight="1">
      <c r="G42" s="31" t="inlineStr">
        <is>
          <t>③ 需量优化（万元）</t>
        </is>
      </c>
      <c r="H42" s="48">
        <f>_zbpwff</f>
        <v/>
      </c>
    </row>
    <row r="43" ht="15.5" customHeight="1">
      <c r="G43" s="31" t="inlineStr">
        <is>
          <t>④ 余电上网（万元）</t>
        </is>
      </c>
      <c r="H43" s="48">
        <f>_z7m6d8</f>
        <v/>
      </c>
    </row>
    <row r="44" ht="15.5" customHeight="1">
      <c r="G44" s="31" t="inlineStr">
        <is>
          <t>⑤ 需求响应（万元）</t>
        </is>
      </c>
      <c r="H44" s="48">
        <f>_ziv1gc</f>
        <v/>
      </c>
    </row>
    <row r="45" ht="15.5" customHeight="1">
      <c r="G45" s="31" t="inlineStr">
        <is>
          <t>⑥ 充电桩服务费（万元）</t>
        </is>
      </c>
      <c r="H45" s="48">
        <f>_zz1w2z</f>
        <v/>
      </c>
    </row>
    <row r="46" ht="15.5" customHeight="1">
      <c r="G46" s="31" t="inlineStr">
        <is>
          <t>⑦ 环境价值（单列，万元）</t>
        </is>
      </c>
      <c r="H46" s="48">
        <f>_zq1zhk</f>
        <v/>
      </c>
    </row>
    <row r="47" ht="15.5" customHeight="1">
      <c r="G47" s="31" t="inlineStr">
        <is>
          <t>自用/可用发电量</t>
        </is>
      </c>
      <c r="H47" s="44">
        <f>_zq9jto</f>
        <v/>
      </c>
    </row>
    <row r="48" ht="15.5" customHeight="1">
      <c r="G48" s="31" t="inlineStr">
        <is>
          <t>自用/年用电量</t>
        </is>
      </c>
      <c r="H48" s="44">
        <f>_z31n7i</f>
        <v/>
      </c>
    </row>
    <row r="49" ht="15.5" customHeight="1">
      <c r="G49" s="31" t="inlineStr">
        <is>
          <t>可再生装机占比</t>
        </is>
      </c>
      <c r="H49" s="44">
        <f>_z4zxd3</f>
        <v/>
      </c>
    </row>
    <row r="50" ht="15.5" customHeight="1"/>
    <row r="51" ht="18" customHeight="1">
      <c r="G51" s="26" t="inlineStr">
        <is>
          <t>投资构成</t>
        </is>
      </c>
      <c r="H51" s="27" t="n"/>
      <c r="I51" s="27" t="n"/>
    </row>
    <row r="52" ht="15.5" customHeight="1">
      <c r="G52" s="31" t="inlineStr">
        <is>
          <t>光伏投资</t>
        </is>
      </c>
      <c r="H52" s="48">
        <f>_zkh06o</f>
        <v/>
      </c>
      <c r="I52" s="24" t="inlineStr">
        <is>
          <t>万元</t>
        </is>
      </c>
    </row>
    <row r="53" ht="15.5" customHeight="1">
      <c r="G53" s="31" t="inlineStr">
        <is>
          <t>风电投资</t>
        </is>
      </c>
      <c r="H53" s="48">
        <f>_z517d3</f>
        <v/>
      </c>
      <c r="I53" s="24" t="inlineStr">
        <is>
          <t>万元</t>
        </is>
      </c>
    </row>
    <row r="54" ht="15.5" customHeight="1">
      <c r="G54" s="31" t="inlineStr">
        <is>
          <t>储能投资</t>
        </is>
      </c>
      <c r="H54" s="48">
        <f>_z4p8is</f>
        <v/>
      </c>
      <c r="I54" s="24" t="inlineStr">
        <is>
          <t>万元</t>
        </is>
      </c>
    </row>
    <row r="55" ht="15.5" customHeight="1">
      <c r="G55" s="31" t="inlineStr">
        <is>
          <t>柴发投资</t>
        </is>
      </c>
      <c r="H55" s="48">
        <f>_zka9am</f>
        <v/>
      </c>
      <c r="I55" s="24" t="inlineStr">
        <is>
          <t>万元</t>
        </is>
      </c>
    </row>
    <row r="56" ht="15.5" customHeight="1">
      <c r="G56" s="31" t="inlineStr">
        <is>
          <t>充电桩投资</t>
        </is>
      </c>
      <c r="H56" s="48">
        <f>_zh76h3</f>
        <v/>
      </c>
      <c r="I56" s="24" t="inlineStr">
        <is>
          <t>万元</t>
        </is>
      </c>
    </row>
    <row r="57" ht="15.5" customHeight="1">
      <c r="G57" s="31" t="inlineStr">
        <is>
          <t>配电工程等其他投资</t>
        </is>
      </c>
      <c r="H57" s="48">
        <f>_zcyms1</f>
        <v/>
      </c>
      <c r="I57" s="24" t="inlineStr">
        <is>
          <t>万元</t>
        </is>
      </c>
    </row>
    <row r="58" ht="15.5" customHeight="1">
      <c r="G58" s="31" t="inlineStr">
        <is>
          <t>其他电源投资</t>
        </is>
      </c>
      <c r="H58" s="48">
        <f>_zghrhb</f>
        <v/>
      </c>
      <c r="I58" s="24" t="inlineStr">
        <is>
          <t>万元</t>
        </is>
      </c>
    </row>
    <row r="59" ht="15.5" customHeight="1">
      <c r="G59" s="31" t="inlineStr">
        <is>
          <t>总投资</t>
        </is>
      </c>
      <c r="H59" s="48">
        <f>_z1tt59</f>
        <v/>
      </c>
      <c r="I59" s="24" t="inlineStr">
        <is>
          <t>万元</t>
        </is>
      </c>
    </row>
    <row r="60" ht="15.5" customHeight="1">
      <c r="G60" s="31" t="inlineStr">
        <is>
          <t>资本金</t>
        </is>
      </c>
      <c r="H60" s="48">
        <f>_zn0hoh</f>
        <v/>
      </c>
      <c r="I60" s="24" t="inlineStr">
        <is>
          <t>万元</t>
        </is>
      </c>
    </row>
    <row r="61" ht="15.5" customHeight="1">
      <c r="G61" s="31" t="inlineStr">
        <is>
          <t>贷款</t>
        </is>
      </c>
      <c r="H61" s="48">
        <f>_zmqr32</f>
        <v/>
      </c>
      <c r="I61" s="24" t="inlineStr">
        <is>
          <t>万元</t>
        </is>
      </c>
    </row>
    <row r="62" ht="15.5" customHeight="1"/>
    <row r="63" ht="18" customHeight="1">
      <c r="G63" s="26" t="inlineStr">
        <is>
          <t>综合到户电价对比（元/kWh）</t>
        </is>
      </c>
      <c r="H63" s="27" t="n"/>
      <c r="I63" s="27" t="n"/>
    </row>
    <row r="64" ht="15.5" customHeight="1">
      <c r="G64" s="31" t="inlineStr">
        <is>
          <t>微电网综合到户电价</t>
        </is>
      </c>
      <c r="H64" s="49">
        <f>_zmbbnb</f>
        <v/>
      </c>
      <c r="I64" s="24" t="inlineStr">
        <is>
          <t>元/kWh</t>
        </is>
      </c>
    </row>
    <row r="65" ht="15.5" customHeight="1">
      <c r="G65" s="31" t="inlineStr">
        <is>
          <t>全量电网供电对照价</t>
        </is>
      </c>
      <c r="H65" s="49">
        <f>IF(_zpjfi7&gt;0,_z3wzt4/_zpjfi7,0)</f>
        <v/>
      </c>
      <c r="I65" s="24" t="inlineStr">
        <is>
          <t>元/kWh</t>
        </is>
      </c>
    </row>
    <row r="66" ht="15.5" customHeight="1"/>
    <row r="67" ht="15.5" customHeight="1"/>
    <row r="68" ht="18" customHeight="1">
      <c r="B68" s="26" t="inlineStr">
        <is>
          <t>逐年现金流（万元）</t>
        </is>
      </c>
      <c r="C68" s="27" t="n"/>
      <c r="D68" s="27" t="n"/>
    </row>
    <row r="69" ht="30" customHeight="1">
      <c r="B69" s="51" t="inlineStr">
        <is>
          <t>年份</t>
        </is>
      </c>
      <c r="C69" s="52" t="inlineStr">
        <is>
          <t>年收益合计（扣燃料成本）</t>
        </is>
      </c>
      <c r="D69" s="52" t="inlineStr">
        <is>
          <t>运维保险</t>
        </is>
      </c>
      <c r="E69" s="52" t="inlineStr">
        <is>
          <t>实缴增值税</t>
        </is>
      </c>
      <c r="F69" s="52" t="inlineStr">
        <is>
          <t>附加税费</t>
        </is>
      </c>
      <c r="G69" s="52" t="inlineStr">
        <is>
          <t>更换支出</t>
        </is>
      </c>
      <c r="H69" s="52" t="inlineStr">
        <is>
          <t>期末回收</t>
        </is>
      </c>
      <c r="I69" s="52" t="inlineStr">
        <is>
          <t>所得税（全投资）</t>
        </is>
      </c>
      <c r="J69" s="52" t="inlineStr">
        <is>
          <t>税后全投资净现金流</t>
        </is>
      </c>
      <c r="K69" s="52" t="inlineStr">
        <is>
          <t>累计</t>
        </is>
      </c>
      <c r="L69" s="53" t="inlineStr">
        <is>
          <t>资本金净现金流</t>
        </is>
      </c>
    </row>
    <row r="70" ht="15.5" customHeight="1">
      <c r="B70" s="54" t="n">
        <v>0</v>
      </c>
      <c r="C70" s="37">
        <f>'_引擎'!E64</f>
        <v/>
      </c>
      <c r="D70" s="37" t="n">
        <v>0</v>
      </c>
      <c r="E70" s="37">
        <f>'_引擎'!L64</f>
        <v/>
      </c>
      <c r="F70" s="37">
        <f>'_引擎'!N64</f>
        <v/>
      </c>
      <c r="G70" s="37">
        <f>'_引擎'!F64</f>
        <v/>
      </c>
      <c r="H70" s="37">
        <f>'_引擎'!AP64</f>
        <v/>
      </c>
      <c r="I70" s="37">
        <f>'_引擎'!AF64</f>
        <v/>
      </c>
      <c r="J70" s="37">
        <f>'_引擎'!AR64</f>
        <v/>
      </c>
      <c r="K70" s="37">
        <f>'_引擎'!AT64</f>
        <v/>
      </c>
      <c r="L70" s="55">
        <f>'_引擎'!AS64</f>
        <v/>
      </c>
    </row>
    <row r="71" ht="15.5" customHeight="1">
      <c r="B71" s="54" t="n">
        <v>1</v>
      </c>
      <c r="C71" s="37">
        <f>'_引擎'!E65</f>
        <v/>
      </c>
      <c r="D71" s="37">
        <f>IF('_引擎'!B65,_zkfhzg,0)</f>
        <v/>
      </c>
      <c r="E71" s="37">
        <f>'_引擎'!L65</f>
        <v/>
      </c>
      <c r="F71" s="37">
        <f>'_引擎'!N65</f>
        <v/>
      </c>
      <c r="G71" s="37">
        <f>'_引擎'!F65</f>
        <v/>
      </c>
      <c r="H71" s="37">
        <f>'_引擎'!AP65</f>
        <v/>
      </c>
      <c r="I71" s="37">
        <f>'_引擎'!AF65</f>
        <v/>
      </c>
      <c r="J71" s="37">
        <f>'_引擎'!AR65</f>
        <v/>
      </c>
      <c r="K71" s="37">
        <f>'_引擎'!AT65</f>
        <v/>
      </c>
      <c r="L71" s="55">
        <f>'_引擎'!AS65</f>
        <v/>
      </c>
    </row>
    <row r="72" ht="15.5" customHeight="1">
      <c r="B72" s="54" t="n">
        <v>2</v>
      </c>
      <c r="C72" s="37">
        <f>'_引擎'!E66</f>
        <v/>
      </c>
      <c r="D72" s="37">
        <f>IF('_引擎'!B66,_zkfhzg,0)</f>
        <v/>
      </c>
      <c r="E72" s="37">
        <f>'_引擎'!L66</f>
        <v/>
      </c>
      <c r="F72" s="37">
        <f>'_引擎'!N66</f>
        <v/>
      </c>
      <c r="G72" s="37">
        <f>'_引擎'!F66</f>
        <v/>
      </c>
      <c r="H72" s="37">
        <f>'_引擎'!AP66</f>
        <v/>
      </c>
      <c r="I72" s="37">
        <f>'_引擎'!AF66</f>
        <v/>
      </c>
      <c r="J72" s="37">
        <f>'_引擎'!AR66</f>
        <v/>
      </c>
      <c r="K72" s="37">
        <f>'_引擎'!AT66</f>
        <v/>
      </c>
      <c r="L72" s="55">
        <f>'_引擎'!AS66</f>
        <v/>
      </c>
    </row>
    <row r="73" ht="15.5" customHeight="1">
      <c r="B73" s="54" t="n">
        <v>3</v>
      </c>
      <c r="C73" s="37">
        <f>'_引擎'!E67</f>
        <v/>
      </c>
      <c r="D73" s="37">
        <f>IF('_引擎'!B67,_zkfhzg,0)</f>
        <v/>
      </c>
      <c r="E73" s="37">
        <f>'_引擎'!L67</f>
        <v/>
      </c>
      <c r="F73" s="37">
        <f>'_引擎'!N67</f>
        <v/>
      </c>
      <c r="G73" s="37">
        <f>'_引擎'!F67</f>
        <v/>
      </c>
      <c r="H73" s="37">
        <f>'_引擎'!AP67</f>
        <v/>
      </c>
      <c r="I73" s="37">
        <f>'_引擎'!AF67</f>
        <v/>
      </c>
      <c r="J73" s="37">
        <f>'_引擎'!AR67</f>
        <v/>
      </c>
      <c r="K73" s="37">
        <f>'_引擎'!AT67</f>
        <v/>
      </c>
      <c r="L73" s="55">
        <f>'_引擎'!AS67</f>
        <v/>
      </c>
    </row>
    <row r="74" ht="15.5" customHeight="1">
      <c r="B74" s="54" t="n">
        <v>4</v>
      </c>
      <c r="C74" s="37">
        <f>'_引擎'!E68</f>
        <v/>
      </c>
      <c r="D74" s="37">
        <f>IF('_引擎'!B68,_zkfhzg,0)</f>
        <v/>
      </c>
      <c r="E74" s="37">
        <f>'_引擎'!L68</f>
        <v/>
      </c>
      <c r="F74" s="37">
        <f>'_引擎'!N68</f>
        <v/>
      </c>
      <c r="G74" s="37">
        <f>'_引擎'!F68</f>
        <v/>
      </c>
      <c r="H74" s="37">
        <f>'_引擎'!AP68</f>
        <v/>
      </c>
      <c r="I74" s="37">
        <f>'_引擎'!AF68</f>
        <v/>
      </c>
      <c r="J74" s="37">
        <f>'_引擎'!AR68</f>
        <v/>
      </c>
      <c r="K74" s="37">
        <f>'_引擎'!AT68</f>
        <v/>
      </c>
      <c r="L74" s="55">
        <f>'_引擎'!AS68</f>
        <v/>
      </c>
    </row>
    <row r="75" ht="15.5" customHeight="1">
      <c r="B75" s="54" t="n">
        <v>5</v>
      </c>
      <c r="C75" s="37">
        <f>'_引擎'!E69</f>
        <v/>
      </c>
      <c r="D75" s="37">
        <f>IF('_引擎'!B69,_zkfhzg,0)</f>
        <v/>
      </c>
      <c r="E75" s="37">
        <f>'_引擎'!L69</f>
        <v/>
      </c>
      <c r="F75" s="37">
        <f>'_引擎'!N69</f>
        <v/>
      </c>
      <c r="G75" s="37">
        <f>'_引擎'!F69</f>
        <v/>
      </c>
      <c r="H75" s="37">
        <f>'_引擎'!AP69</f>
        <v/>
      </c>
      <c r="I75" s="37">
        <f>'_引擎'!AF69</f>
        <v/>
      </c>
      <c r="J75" s="37">
        <f>'_引擎'!AR69</f>
        <v/>
      </c>
      <c r="K75" s="37">
        <f>'_引擎'!AT69</f>
        <v/>
      </c>
      <c r="L75" s="55">
        <f>'_引擎'!AS69</f>
        <v/>
      </c>
    </row>
    <row r="76" ht="15.5" customHeight="1">
      <c r="B76" s="54" t="n">
        <v>6</v>
      </c>
      <c r="C76" s="37">
        <f>'_引擎'!E70</f>
        <v/>
      </c>
      <c r="D76" s="37">
        <f>IF('_引擎'!B70,_zkfhzg,0)</f>
        <v/>
      </c>
      <c r="E76" s="37">
        <f>'_引擎'!L70</f>
        <v/>
      </c>
      <c r="F76" s="37">
        <f>'_引擎'!N70</f>
        <v/>
      </c>
      <c r="G76" s="37">
        <f>'_引擎'!F70</f>
        <v/>
      </c>
      <c r="H76" s="37">
        <f>'_引擎'!AP70</f>
        <v/>
      </c>
      <c r="I76" s="37">
        <f>'_引擎'!AF70</f>
        <v/>
      </c>
      <c r="J76" s="37">
        <f>'_引擎'!AR70</f>
        <v/>
      </c>
      <c r="K76" s="37">
        <f>'_引擎'!AT70</f>
        <v/>
      </c>
      <c r="L76" s="55">
        <f>'_引擎'!AS70</f>
        <v/>
      </c>
    </row>
    <row r="77" ht="15.5" customHeight="1">
      <c r="B77" s="54" t="n">
        <v>7</v>
      </c>
      <c r="C77" s="37">
        <f>'_引擎'!E71</f>
        <v/>
      </c>
      <c r="D77" s="37">
        <f>IF('_引擎'!B71,_zkfhzg,0)</f>
        <v/>
      </c>
      <c r="E77" s="37">
        <f>'_引擎'!L71</f>
        <v/>
      </c>
      <c r="F77" s="37">
        <f>'_引擎'!N71</f>
        <v/>
      </c>
      <c r="G77" s="37">
        <f>'_引擎'!F71</f>
        <v/>
      </c>
      <c r="H77" s="37">
        <f>'_引擎'!AP71</f>
        <v/>
      </c>
      <c r="I77" s="37">
        <f>'_引擎'!AF71</f>
        <v/>
      </c>
      <c r="J77" s="37">
        <f>'_引擎'!AR71</f>
        <v/>
      </c>
      <c r="K77" s="37">
        <f>'_引擎'!AT71</f>
        <v/>
      </c>
      <c r="L77" s="55">
        <f>'_引擎'!AS71</f>
        <v/>
      </c>
    </row>
    <row r="78" ht="15.5" customHeight="1">
      <c r="B78" s="54" t="n">
        <v>8</v>
      </c>
      <c r="C78" s="37">
        <f>'_引擎'!E72</f>
        <v/>
      </c>
      <c r="D78" s="37">
        <f>IF('_引擎'!B72,_zkfhzg,0)</f>
        <v/>
      </c>
      <c r="E78" s="37">
        <f>'_引擎'!L72</f>
        <v/>
      </c>
      <c r="F78" s="37">
        <f>'_引擎'!N72</f>
        <v/>
      </c>
      <c r="G78" s="37">
        <f>'_引擎'!F72</f>
        <v/>
      </c>
      <c r="H78" s="37">
        <f>'_引擎'!AP72</f>
        <v/>
      </c>
      <c r="I78" s="37">
        <f>'_引擎'!AF72</f>
        <v/>
      </c>
      <c r="J78" s="37">
        <f>'_引擎'!AR72</f>
        <v/>
      </c>
      <c r="K78" s="37">
        <f>'_引擎'!AT72</f>
        <v/>
      </c>
      <c r="L78" s="55">
        <f>'_引擎'!AS72</f>
        <v/>
      </c>
    </row>
    <row r="79" ht="15.5" customHeight="1">
      <c r="B79" s="54" t="n">
        <v>9</v>
      </c>
      <c r="C79" s="37">
        <f>'_引擎'!E73</f>
        <v/>
      </c>
      <c r="D79" s="37">
        <f>IF('_引擎'!B73,_zkfhzg,0)</f>
        <v/>
      </c>
      <c r="E79" s="37">
        <f>'_引擎'!L73</f>
        <v/>
      </c>
      <c r="F79" s="37">
        <f>'_引擎'!N73</f>
        <v/>
      </c>
      <c r="G79" s="37">
        <f>'_引擎'!F73</f>
        <v/>
      </c>
      <c r="H79" s="37">
        <f>'_引擎'!AP73</f>
        <v/>
      </c>
      <c r="I79" s="37">
        <f>'_引擎'!AF73</f>
        <v/>
      </c>
      <c r="J79" s="37">
        <f>'_引擎'!AR73</f>
        <v/>
      </c>
      <c r="K79" s="37">
        <f>'_引擎'!AT73</f>
        <v/>
      </c>
      <c r="L79" s="55">
        <f>'_引擎'!AS73</f>
        <v/>
      </c>
    </row>
    <row r="80" ht="15.5" customHeight="1">
      <c r="B80" s="54" t="n">
        <v>10</v>
      </c>
      <c r="C80" s="37">
        <f>'_引擎'!E74</f>
        <v/>
      </c>
      <c r="D80" s="37">
        <f>IF('_引擎'!B74,_zkfhzg,0)</f>
        <v/>
      </c>
      <c r="E80" s="37">
        <f>'_引擎'!L74</f>
        <v/>
      </c>
      <c r="F80" s="37">
        <f>'_引擎'!N74</f>
        <v/>
      </c>
      <c r="G80" s="37">
        <f>'_引擎'!F74</f>
        <v/>
      </c>
      <c r="H80" s="37">
        <f>'_引擎'!AP74</f>
        <v/>
      </c>
      <c r="I80" s="37">
        <f>'_引擎'!AF74</f>
        <v/>
      </c>
      <c r="J80" s="37">
        <f>'_引擎'!AR74</f>
        <v/>
      </c>
      <c r="K80" s="37">
        <f>'_引擎'!AT74</f>
        <v/>
      </c>
      <c r="L80" s="55">
        <f>'_引擎'!AS74</f>
        <v/>
      </c>
    </row>
    <row r="81" ht="15.5" customHeight="1">
      <c r="B81" s="54" t="n">
        <v>11</v>
      </c>
      <c r="C81" s="37">
        <f>'_引擎'!E75</f>
        <v/>
      </c>
      <c r="D81" s="37">
        <f>IF('_引擎'!B75,_zkfhzg,0)</f>
        <v/>
      </c>
      <c r="E81" s="37">
        <f>'_引擎'!L75</f>
        <v/>
      </c>
      <c r="F81" s="37">
        <f>'_引擎'!N75</f>
        <v/>
      </c>
      <c r="G81" s="37">
        <f>'_引擎'!F75</f>
        <v/>
      </c>
      <c r="H81" s="37">
        <f>'_引擎'!AP75</f>
        <v/>
      </c>
      <c r="I81" s="37">
        <f>'_引擎'!AF75</f>
        <v/>
      </c>
      <c r="J81" s="37">
        <f>'_引擎'!AR75</f>
        <v/>
      </c>
      <c r="K81" s="37">
        <f>'_引擎'!AT75</f>
        <v/>
      </c>
      <c r="L81" s="55">
        <f>'_引擎'!AS75</f>
        <v/>
      </c>
    </row>
    <row r="82" ht="15.5" customHeight="1">
      <c r="B82" s="54" t="n">
        <v>12</v>
      </c>
      <c r="C82" s="37">
        <f>'_引擎'!E76</f>
        <v/>
      </c>
      <c r="D82" s="37">
        <f>IF('_引擎'!B76,_zkfhzg,0)</f>
        <v/>
      </c>
      <c r="E82" s="37">
        <f>'_引擎'!L76</f>
        <v/>
      </c>
      <c r="F82" s="37">
        <f>'_引擎'!N76</f>
        <v/>
      </c>
      <c r="G82" s="37">
        <f>'_引擎'!F76</f>
        <v/>
      </c>
      <c r="H82" s="37">
        <f>'_引擎'!AP76</f>
        <v/>
      </c>
      <c r="I82" s="37">
        <f>'_引擎'!AF76</f>
        <v/>
      </c>
      <c r="J82" s="37">
        <f>'_引擎'!AR76</f>
        <v/>
      </c>
      <c r="K82" s="37">
        <f>'_引擎'!AT76</f>
        <v/>
      </c>
      <c r="L82" s="55">
        <f>'_引擎'!AS76</f>
        <v/>
      </c>
    </row>
    <row r="83" ht="15.5" customHeight="1">
      <c r="B83" s="54" t="n">
        <v>13</v>
      </c>
      <c r="C83" s="37">
        <f>'_引擎'!E77</f>
        <v/>
      </c>
      <c r="D83" s="37">
        <f>IF('_引擎'!B77,_zkfhzg,0)</f>
        <v/>
      </c>
      <c r="E83" s="37">
        <f>'_引擎'!L77</f>
        <v/>
      </c>
      <c r="F83" s="37">
        <f>'_引擎'!N77</f>
        <v/>
      </c>
      <c r="G83" s="37">
        <f>'_引擎'!F77</f>
        <v/>
      </c>
      <c r="H83" s="37">
        <f>'_引擎'!AP77</f>
        <v/>
      </c>
      <c r="I83" s="37">
        <f>'_引擎'!AF77</f>
        <v/>
      </c>
      <c r="J83" s="37">
        <f>'_引擎'!AR77</f>
        <v/>
      </c>
      <c r="K83" s="37">
        <f>'_引擎'!AT77</f>
        <v/>
      </c>
      <c r="L83" s="55">
        <f>'_引擎'!AS77</f>
        <v/>
      </c>
    </row>
    <row r="84" ht="15.5" customHeight="1">
      <c r="B84" s="54" t="n">
        <v>14</v>
      </c>
      <c r="C84" s="37">
        <f>'_引擎'!E78</f>
        <v/>
      </c>
      <c r="D84" s="37">
        <f>IF('_引擎'!B78,_zkfhzg,0)</f>
        <v/>
      </c>
      <c r="E84" s="37">
        <f>'_引擎'!L78</f>
        <v/>
      </c>
      <c r="F84" s="37">
        <f>'_引擎'!N78</f>
        <v/>
      </c>
      <c r="G84" s="37">
        <f>'_引擎'!F78</f>
        <v/>
      </c>
      <c r="H84" s="37">
        <f>'_引擎'!AP78</f>
        <v/>
      </c>
      <c r="I84" s="37">
        <f>'_引擎'!AF78</f>
        <v/>
      </c>
      <c r="J84" s="37">
        <f>'_引擎'!AR78</f>
        <v/>
      </c>
      <c r="K84" s="37">
        <f>'_引擎'!AT78</f>
        <v/>
      </c>
      <c r="L84" s="55">
        <f>'_引擎'!AS78</f>
        <v/>
      </c>
    </row>
    <row r="85" ht="15.5" customHeight="1">
      <c r="B85" s="54" t="n">
        <v>15</v>
      </c>
      <c r="C85" s="37">
        <f>'_引擎'!E79</f>
        <v/>
      </c>
      <c r="D85" s="37">
        <f>IF('_引擎'!B79,_zkfhzg,0)</f>
        <v/>
      </c>
      <c r="E85" s="37">
        <f>'_引擎'!L79</f>
        <v/>
      </c>
      <c r="F85" s="37">
        <f>'_引擎'!N79</f>
        <v/>
      </c>
      <c r="G85" s="37">
        <f>'_引擎'!F79</f>
        <v/>
      </c>
      <c r="H85" s="37">
        <f>'_引擎'!AP79</f>
        <v/>
      </c>
      <c r="I85" s="37">
        <f>'_引擎'!AF79</f>
        <v/>
      </c>
      <c r="J85" s="37">
        <f>'_引擎'!AR79</f>
        <v/>
      </c>
      <c r="K85" s="37">
        <f>'_引擎'!AT79</f>
        <v/>
      </c>
      <c r="L85" s="55">
        <f>'_引擎'!AS79</f>
        <v/>
      </c>
    </row>
    <row r="86" ht="15.5" customHeight="1">
      <c r="B86" s="54" t="n">
        <v>16</v>
      </c>
      <c r="C86" s="37">
        <f>'_引擎'!E80</f>
        <v/>
      </c>
      <c r="D86" s="37">
        <f>IF('_引擎'!B80,_zkfhzg,0)</f>
        <v/>
      </c>
      <c r="E86" s="37">
        <f>'_引擎'!L80</f>
        <v/>
      </c>
      <c r="F86" s="37">
        <f>'_引擎'!N80</f>
        <v/>
      </c>
      <c r="G86" s="37">
        <f>'_引擎'!F80</f>
        <v/>
      </c>
      <c r="H86" s="37">
        <f>'_引擎'!AP80</f>
        <v/>
      </c>
      <c r="I86" s="37">
        <f>'_引擎'!AF80</f>
        <v/>
      </c>
      <c r="J86" s="37">
        <f>'_引擎'!AR80</f>
        <v/>
      </c>
      <c r="K86" s="37">
        <f>'_引擎'!AT80</f>
        <v/>
      </c>
      <c r="L86" s="55">
        <f>'_引擎'!AS80</f>
        <v/>
      </c>
    </row>
    <row r="87" ht="15.5" customHeight="1">
      <c r="B87" s="54" t="n">
        <v>17</v>
      </c>
      <c r="C87" s="37">
        <f>'_引擎'!E81</f>
        <v/>
      </c>
      <c r="D87" s="37">
        <f>IF('_引擎'!B81,_zkfhzg,0)</f>
        <v/>
      </c>
      <c r="E87" s="37">
        <f>'_引擎'!L81</f>
        <v/>
      </c>
      <c r="F87" s="37">
        <f>'_引擎'!N81</f>
        <v/>
      </c>
      <c r="G87" s="37">
        <f>'_引擎'!F81</f>
        <v/>
      </c>
      <c r="H87" s="37">
        <f>'_引擎'!AP81</f>
        <v/>
      </c>
      <c r="I87" s="37">
        <f>'_引擎'!AF81</f>
        <v/>
      </c>
      <c r="J87" s="37">
        <f>'_引擎'!AR81</f>
        <v/>
      </c>
      <c r="K87" s="37">
        <f>'_引擎'!AT81</f>
        <v/>
      </c>
      <c r="L87" s="55">
        <f>'_引擎'!AS81</f>
        <v/>
      </c>
    </row>
    <row r="88" ht="15.5" customHeight="1">
      <c r="B88" s="54" t="n">
        <v>18</v>
      </c>
      <c r="C88" s="37">
        <f>'_引擎'!E82</f>
        <v/>
      </c>
      <c r="D88" s="37">
        <f>IF('_引擎'!B82,_zkfhzg,0)</f>
        <v/>
      </c>
      <c r="E88" s="37">
        <f>'_引擎'!L82</f>
        <v/>
      </c>
      <c r="F88" s="37">
        <f>'_引擎'!N82</f>
        <v/>
      </c>
      <c r="G88" s="37">
        <f>'_引擎'!F82</f>
        <v/>
      </c>
      <c r="H88" s="37">
        <f>'_引擎'!AP82</f>
        <v/>
      </c>
      <c r="I88" s="37">
        <f>'_引擎'!AF82</f>
        <v/>
      </c>
      <c r="J88" s="37">
        <f>'_引擎'!AR82</f>
        <v/>
      </c>
      <c r="K88" s="37">
        <f>'_引擎'!AT82</f>
        <v/>
      </c>
      <c r="L88" s="55">
        <f>'_引擎'!AS82</f>
        <v/>
      </c>
    </row>
    <row r="89" ht="15.5" customHeight="1">
      <c r="B89" s="54" t="n">
        <v>19</v>
      </c>
      <c r="C89" s="37">
        <f>'_引擎'!E83</f>
        <v/>
      </c>
      <c r="D89" s="37">
        <f>IF('_引擎'!B83,_zkfhzg,0)</f>
        <v/>
      </c>
      <c r="E89" s="37">
        <f>'_引擎'!L83</f>
        <v/>
      </c>
      <c r="F89" s="37">
        <f>'_引擎'!N83</f>
        <v/>
      </c>
      <c r="G89" s="37">
        <f>'_引擎'!F83</f>
        <v/>
      </c>
      <c r="H89" s="37">
        <f>'_引擎'!AP83</f>
        <v/>
      </c>
      <c r="I89" s="37">
        <f>'_引擎'!AF83</f>
        <v/>
      </c>
      <c r="J89" s="37">
        <f>'_引擎'!AR83</f>
        <v/>
      </c>
      <c r="K89" s="37">
        <f>'_引擎'!AT83</f>
        <v/>
      </c>
      <c r="L89" s="55">
        <f>'_引擎'!AS83</f>
        <v/>
      </c>
    </row>
    <row r="90" ht="15.5" customHeight="1">
      <c r="B90" s="54" t="n">
        <v>20</v>
      </c>
      <c r="C90" s="37">
        <f>'_引擎'!E84</f>
        <v/>
      </c>
      <c r="D90" s="37">
        <f>IF('_引擎'!B84,_zkfhzg,0)</f>
        <v/>
      </c>
      <c r="E90" s="37">
        <f>'_引擎'!L84</f>
        <v/>
      </c>
      <c r="F90" s="37">
        <f>'_引擎'!N84</f>
        <v/>
      </c>
      <c r="G90" s="37">
        <f>'_引擎'!F84</f>
        <v/>
      </c>
      <c r="H90" s="37">
        <f>'_引擎'!AP84</f>
        <v/>
      </c>
      <c r="I90" s="37">
        <f>'_引擎'!AF84</f>
        <v/>
      </c>
      <c r="J90" s="37">
        <f>'_引擎'!AR84</f>
        <v/>
      </c>
      <c r="K90" s="37">
        <f>'_引擎'!AT84</f>
        <v/>
      </c>
      <c r="L90" s="55">
        <f>'_引擎'!AS84</f>
        <v/>
      </c>
    </row>
    <row r="91" ht="15.5" customHeight="1">
      <c r="B91" s="54" t="n">
        <v>21</v>
      </c>
      <c r="C91" s="37">
        <f>'_引擎'!E85</f>
        <v/>
      </c>
      <c r="D91" s="37">
        <f>IF('_引擎'!B85,_zkfhzg,0)</f>
        <v/>
      </c>
      <c r="E91" s="37">
        <f>'_引擎'!L85</f>
        <v/>
      </c>
      <c r="F91" s="37">
        <f>'_引擎'!N85</f>
        <v/>
      </c>
      <c r="G91" s="37">
        <f>'_引擎'!F85</f>
        <v/>
      </c>
      <c r="H91" s="37">
        <f>'_引擎'!AP85</f>
        <v/>
      </c>
      <c r="I91" s="37">
        <f>'_引擎'!AF85</f>
        <v/>
      </c>
      <c r="J91" s="37">
        <f>'_引擎'!AR85</f>
        <v/>
      </c>
      <c r="K91" s="37">
        <f>'_引擎'!AT85</f>
        <v/>
      </c>
      <c r="L91" s="55">
        <f>'_引擎'!AS85</f>
        <v/>
      </c>
    </row>
    <row r="92" ht="15.5" customHeight="1">
      <c r="B92" s="54" t="n">
        <v>22</v>
      </c>
      <c r="C92" s="37">
        <f>'_引擎'!E86</f>
        <v/>
      </c>
      <c r="D92" s="37">
        <f>IF('_引擎'!B86,_zkfhzg,0)</f>
        <v/>
      </c>
      <c r="E92" s="37">
        <f>'_引擎'!L86</f>
        <v/>
      </c>
      <c r="F92" s="37">
        <f>'_引擎'!N86</f>
        <v/>
      </c>
      <c r="G92" s="37">
        <f>'_引擎'!F86</f>
        <v/>
      </c>
      <c r="H92" s="37">
        <f>'_引擎'!AP86</f>
        <v/>
      </c>
      <c r="I92" s="37">
        <f>'_引擎'!AF86</f>
        <v/>
      </c>
      <c r="J92" s="37">
        <f>'_引擎'!AR86</f>
        <v/>
      </c>
      <c r="K92" s="37">
        <f>'_引擎'!AT86</f>
        <v/>
      </c>
      <c r="L92" s="55">
        <f>'_引擎'!AS86</f>
        <v/>
      </c>
    </row>
    <row r="93" ht="15.5" customHeight="1">
      <c r="B93" s="54" t="n">
        <v>23</v>
      </c>
      <c r="C93" s="37">
        <f>'_引擎'!E87</f>
        <v/>
      </c>
      <c r="D93" s="37">
        <f>IF('_引擎'!B87,_zkfhzg,0)</f>
        <v/>
      </c>
      <c r="E93" s="37">
        <f>'_引擎'!L87</f>
        <v/>
      </c>
      <c r="F93" s="37">
        <f>'_引擎'!N87</f>
        <v/>
      </c>
      <c r="G93" s="37">
        <f>'_引擎'!F87</f>
        <v/>
      </c>
      <c r="H93" s="37">
        <f>'_引擎'!AP87</f>
        <v/>
      </c>
      <c r="I93" s="37">
        <f>'_引擎'!AF87</f>
        <v/>
      </c>
      <c r="J93" s="37">
        <f>'_引擎'!AR87</f>
        <v/>
      </c>
      <c r="K93" s="37">
        <f>'_引擎'!AT87</f>
        <v/>
      </c>
      <c r="L93" s="55">
        <f>'_引擎'!AS87</f>
        <v/>
      </c>
    </row>
    <row r="94" ht="15.5" customHeight="1">
      <c r="B94" s="54" t="n">
        <v>24</v>
      </c>
      <c r="C94" s="37">
        <f>'_引擎'!E88</f>
        <v/>
      </c>
      <c r="D94" s="37">
        <f>IF('_引擎'!B88,_zkfhzg,0)</f>
        <v/>
      </c>
      <c r="E94" s="37">
        <f>'_引擎'!L88</f>
        <v/>
      </c>
      <c r="F94" s="37">
        <f>'_引擎'!N88</f>
        <v/>
      </c>
      <c r="G94" s="37">
        <f>'_引擎'!F88</f>
        <v/>
      </c>
      <c r="H94" s="37">
        <f>'_引擎'!AP88</f>
        <v/>
      </c>
      <c r="I94" s="37">
        <f>'_引擎'!AF88</f>
        <v/>
      </c>
      <c r="J94" s="37">
        <f>'_引擎'!AR88</f>
        <v/>
      </c>
      <c r="K94" s="37">
        <f>'_引擎'!AT88</f>
        <v/>
      </c>
      <c r="L94" s="55">
        <f>'_引擎'!AS88</f>
        <v/>
      </c>
    </row>
    <row r="95" ht="15.5" customHeight="1">
      <c r="B95" s="56" t="n">
        <v>25</v>
      </c>
      <c r="C95" s="57">
        <f>'_引擎'!E89</f>
        <v/>
      </c>
      <c r="D95" s="57">
        <f>IF('_引擎'!B89,_zkfhzg,0)</f>
        <v/>
      </c>
      <c r="E95" s="57">
        <f>'_引擎'!L89</f>
        <v/>
      </c>
      <c r="F95" s="57">
        <f>'_引擎'!N89</f>
        <v/>
      </c>
      <c r="G95" s="57">
        <f>'_引擎'!F89</f>
        <v/>
      </c>
      <c r="H95" s="57">
        <f>'_引擎'!AP89</f>
        <v/>
      </c>
      <c r="I95" s="57">
        <f>'_引擎'!AF89</f>
        <v/>
      </c>
      <c r="J95" s="57">
        <f>'_引擎'!AR89</f>
        <v/>
      </c>
      <c r="K95" s="57">
        <f>'_引擎'!AT89</f>
        <v/>
      </c>
      <c r="L95" s="58">
        <f>'_引擎'!AS89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">
    <mergeCell ref="B8:E8"/>
    <mergeCell ref="B6:E6"/>
  </mergeCells>
  <conditionalFormatting sqref="I16">
    <cfRule type="expression" priority="1" dxfId="0">
      <formula>$I$16="不满足"</formula>
    </cfRule>
    <cfRule type="expression" priority="2" dxfId="1">
      <formula>$I$16="满足"</formula>
    </cfRule>
  </conditionalFormatting>
  <conditionalFormatting sqref="I17">
    <cfRule type="expression" priority="3" dxfId="0">
      <formula>$I$17="不满足"</formula>
    </cfRule>
    <cfRule type="expression" priority="4" dxfId="1">
      <formula>$I$17="满足"</formula>
    </cfRule>
  </conditionalFormatting>
  <conditionalFormatting sqref="I18">
    <cfRule type="expression" priority="5" dxfId="0">
      <formula>$I$18="不满足"</formula>
    </cfRule>
    <cfRule type="expression" priority="6" dxfId="1">
      <formula>$I$18="满足"</formula>
    </cfRule>
  </conditionalFormatting>
  <conditionalFormatting sqref="J71:J95">
    <cfRule type="dataBar" priority="7">
      <dataBar showValue="1">
        <cfvo type="num" val="0"/>
        <cfvo type="max"/>
        <color rgb="001F3864"/>
      </dataBar>
    </cfRule>
  </conditionalFormatting>
  <dataValidations count="24">
    <dataValidation sqref="C5" showDropDown="0" showInputMessage="0" showErrorMessage="0" allowBlank="0" type="list">
      <formula1>=_z3dy4z</formula1>
    </dataValidation>
    <dataValidation sqref="C7" showDropDown="0" showInputMessage="0" showErrorMessage="0" allowBlank="0" type="list">
      <formula1>=_z7qs7z</formula1>
    </dataValidation>
    <dataValidation sqref="C11" showDropDown="0" showInputMessage="0" showErrorMessage="1" allowBlank="1" errorTitle="超出可填范围" error="光伏单位造价可填范围为0~10 元/W，请核实后重新填写。" type="decimal" operator="between">
      <formula1>0</formula1>
      <formula2>10</formula2>
    </dataValidation>
    <dataValidation sqref="C12" showDropDown="0" showInputMessage="0" showErrorMessage="1" allowBlank="1" errorTitle="超出可填范围" error="风电单位造价可填范围为0~10 元/W，请核实后重新填写。" type="decimal" operator="between">
      <formula1>0</formula1>
      <formula2>10</formula2>
    </dataValidation>
    <dataValidation sqref="C13" showDropDown="0" showInputMessage="0" showErrorMessage="1" allowBlank="1" errorTitle="超出可填范围" error="储能单位造价可填范围为0~5 元/Wh，请核实后重新填写。" type="decimal" operator="between">
      <formula1>0</formula1>
      <formula2>5</formula2>
    </dataValidation>
    <dataValidation sqref="C14" showDropDown="0" showInputMessage="0" showErrorMessage="1" allowBlank="1" errorTitle="超出可填范围" error="柴发单位造价可填范围为0~3 元/W，请核实后重新填写。" type="decimal" operator="between">
      <formula1>0</formula1>
      <formula2>3</formula2>
    </dataValidation>
    <dataValidation sqref="C15" showDropDown="0" showInputMessage="0" showErrorMessage="1" allowBlank="1" errorTitle="超出可填范围" error="充电桩投资可填范围为0~100,000 万元，请核实后重新填写。" type="decimal" operator="between">
      <formula1>0</formula1>
      <formula2>100000</formula2>
    </dataValidation>
    <dataValidation sqref="C16" showDropDown="0" showInputMessage="0" showErrorMessage="1" allowBlank="1" errorTitle="超出可填范围" error="配电工程等其他投资可填范围为0~100,000 万元，请核实后重新填写。" type="decimal" operator="between">
      <formula1>0</formula1>
      <formula2>100000</formula2>
    </dataValidation>
    <dataValidation sqref="C17" showDropDown="0" showInputMessage="0" showErrorMessage="1" allowBlank="1" errorTitle="超出可填范围" error="其他电源投资可填范围为0~100,000 万元，请核实后重新填写。" type="decimal" operator="between">
      <formula1>0</formula1>
      <formula2>100000</formula2>
    </dataValidation>
    <dataValidation sqref="C20" showDropDown="0" showInputMessage="0" showErrorMessage="1" allowBlank="1" errorTitle="超出可填范围" error="年出力衰减率可填范围为0%~10%，请核实后重新填写。" type="decimal" operator="between">
      <formula1>0</formula1>
      <formula2>0.1</formula2>
    </dataValidation>
    <dataValidation sqref="C21" showDropDown="0" showInputMessage="0" showErrorMessage="1" allowBlank="1" errorTitle="超出可填范围" error="储能更换年份须为0~60的整数；填0或大于运营期表示不发生更换。" type="whole" operator="between">
      <formula1>0</formula1>
      <formula2>60</formula2>
    </dataValidation>
    <dataValidation sqref="C22" showDropDown="0" showInputMessage="0" showErrorMessage="1" allowBlank="1" errorTitle="超出可填范围" error="更换费用比例可填范围为0%~100%，请核实后重新填写。" type="decimal" operator="between">
      <formula1>0</formula1>
      <formula2>1</formula2>
    </dataValidation>
    <dataValidation sqref="C23" showDropDown="0" showInputMessage="0" showErrorMessage="1" allowBlank="1" errorTitle="超出可填范围" error="运维费率可填范围为0%~10%，请核实后重新填写。" type="decimal" operator="between">
      <formula1>0</formula1>
      <formula2>0.1</formula2>
    </dataValidation>
    <dataValidation sqref="C24" showDropDown="0" showInputMessage="0" showErrorMessage="1" allowBlank="1" errorTitle="超出可填范围" error="保险费率可填范围为0%~5%，请核实后重新填写。" type="decimal" operator="between">
      <formula1>0</formula1>
      <formula2>0.05</formula2>
    </dataValidation>
    <dataValidation sqref="C27" showDropDown="0" showInputMessage="0" showErrorMessage="1" allowBlank="1" errorTitle="超出可填范围" error="资本金比例应大于零且不超过100%。" type="decimal" operator="between">
      <formula1>0.0001</formula1>
      <formula2>1</formula2>
    </dataValidation>
    <dataValidation sqref="C28" showDropDown="0" showInputMessage="0" showErrorMessage="1" allowBlank="1" errorTitle="超出可填范围" error="贷款利率可填范围为0%~20%，请核实后重新填写。" type="decimal" operator="between">
      <formula1>0</formula1>
      <formula2>0.2</formula2>
    </dataValidation>
    <dataValidation sqref="C29" showDropDown="0" showInputMessage="0" showErrorMessage="1" allowBlank="1" errorTitle="超出可填范围" error="贷款年限须为1~60的整数。" type="whole" operator="between">
      <formula1>1</formula1>
      <formula2>60</formula2>
    </dataValidation>
    <dataValidation sqref="C30" showDropDown="0" showInputMessage="0" showErrorMessage="1" allowBlank="1" errorTitle="超出可填范围" error="运营期须为1~25的整数；本工作簿现金流表最长支持25年，更长评价期请用介子九维小程序在线测算。" type="whole" operator="between">
      <formula1>1</formula1>
      <formula2>25</formula2>
    </dataValidation>
    <dataValidation sqref="C31" showDropDown="0" showInputMessage="0" showErrorMessage="1" allowBlank="1" errorTitle="超出可填范围" error="折旧年限须为1~60的整数。" type="whole" operator="between">
      <formula1>1</formula1>
      <formula2>60</formula2>
    </dataValidation>
    <dataValidation sqref="C32" showDropDown="0" showInputMessage="0" showErrorMessage="1" allowBlank="1" errorTitle="超出可填范围" error="残值率可填范围为0%~20%，请核实后重新填写。" type="decimal" operator="between">
      <formula1>0</formula1>
      <formula2>0.2</formula2>
    </dataValidation>
    <dataValidation sqref="C33" showDropDown="0" showInputMessage="0" showErrorMessage="1" allowBlank="1" errorTitle="超出可填范围" error="所得税率可填范围为0%~35%，请核实后重新填写。" type="decimal" operator="between">
      <formula1>0</formula1>
      <formula2>0.35</formula2>
    </dataValidation>
    <dataValidation sqref="C34" showDropDown="0" showInputMessage="0" showErrorMessage="0" allowBlank="0" type="list">
      <formula1>"是,否"</formula1>
    </dataValidation>
    <dataValidation sqref="C35" showDropDown="0" showInputMessage="0" showErrorMessage="1" allowBlank="1" errorTitle="超出可填范围" error="可抵扣进项税比例应不为负且不超过13/113（约11.5%）。" type="decimal" operator="between">
      <formula1>0</formula1>
      <formula2>0.11504424778761063</formula2>
    </dataValidation>
    <dataValidation sqref="C36" showDropDown="0" showInputMessage="0" showErrorMessage="1" allowBlank="1" errorTitle="超出可填范围" error="基准折现率可填范围为0%~20%，请核实后重新填写。" type="decimal" operator="between">
      <formula1>0</formula1>
      <formula2>0.2</formula2>
    </dataValidation>
  </dataValidations>
  <pageMargins left="0.75" right="0.75" top="1" bottom="1" header="0.5" footer="0.5"/>
  <headerFooter>
    <oddHeader/>
    <oddFooter>&amp;L智能微电网经济评价 v2.1&amp;R介子九维 JIEZIJIUWEI · 版权所有</oddFooter>
    <evenHeader/>
    <evenFooter/>
    <firstHeader/>
    <firstFooter/>
  </headerFooter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F103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标量（引擎口径 2026-07；勿改）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  <c r="AC1" s="5" t="n"/>
      <c r="AD1" s="5" t="n"/>
      <c r="AE1" s="5" t="n"/>
      <c r="AF1" s="5" t="n"/>
      <c r="AG1" s="5" t="n"/>
      <c r="AH1" s="5" t="n"/>
      <c r="AI1" s="5" t="n"/>
      <c r="AJ1" s="5" t="n"/>
      <c r="AK1" s="5" t="n"/>
      <c r="AL1" s="5" t="n"/>
      <c r="AM1" s="5" t="n"/>
      <c r="AN1" s="5" t="n"/>
      <c r="AO1" s="5" t="n"/>
      <c r="AP1" s="5" t="n"/>
      <c r="AQ1" s="5" t="n"/>
      <c r="AR1" s="5" t="n"/>
      <c r="AS1" s="5" t="n"/>
      <c r="AT1" s="5" t="n"/>
      <c r="AU1" s="5" t="n"/>
      <c r="AV1" s="5" t="n"/>
      <c r="AW1" s="5" t="n"/>
      <c r="AX1" s="5" t="n"/>
      <c r="AY1" s="5" t="n"/>
      <c r="AZ1" s="5" t="n"/>
      <c r="BA1" s="5" t="n"/>
      <c r="BB1" s="5" t="n"/>
      <c r="BC1" s="5" t="n"/>
      <c r="BD1" s="5" t="n"/>
      <c r="BE1" s="5" t="n"/>
      <c r="BF1" s="5" t="n"/>
    </row>
    <row r="2">
      <c r="A2" s="5" t="inlineStr">
        <is>
          <t>电价场景序号</t>
        </is>
      </c>
      <c r="B2" s="5">
        <f>MATCH(_zobook,_z3dy4z,0)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  <c r="AC2" s="5" t="n"/>
      <c r="AD2" s="5" t="n"/>
      <c r="AE2" s="5" t="n"/>
      <c r="AF2" s="5" t="n"/>
      <c r="AG2" s="5" t="n"/>
      <c r="AH2" s="5" t="n"/>
      <c r="AI2" s="5" t="n"/>
      <c r="AJ2" s="5" t="n"/>
      <c r="AK2" s="5" t="n"/>
      <c r="AL2" s="5" t="n"/>
      <c r="AM2" s="5" t="n"/>
      <c r="AN2" s="5" t="n"/>
      <c r="AO2" s="5" t="n"/>
      <c r="AP2" s="5" t="n"/>
      <c r="AQ2" s="5" t="n"/>
      <c r="AR2" s="5" t="n"/>
      <c r="AS2" s="5" t="n"/>
      <c r="AT2" s="5" t="n"/>
      <c r="AU2" s="5" t="n"/>
      <c r="AV2" s="5" t="n"/>
      <c r="AW2" s="5" t="n"/>
      <c r="AX2" s="5" t="n"/>
      <c r="AY2" s="5" t="n"/>
      <c r="AZ2" s="5" t="n"/>
      <c r="BA2" s="5" t="n"/>
      <c r="BB2" s="5" t="n"/>
      <c r="BC2" s="5" t="n"/>
      <c r="BD2" s="5" t="n"/>
      <c r="BE2" s="5" t="n"/>
      <c r="BF2" s="5" t="n"/>
    </row>
    <row r="3">
      <c r="A3" s="5" t="inlineStr">
        <is>
          <t>负荷形态序号</t>
        </is>
      </c>
      <c r="B3" s="5">
        <f>MATCH(_zhoj8r,_z7qs7z,0)</f>
        <v/>
      </c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  <c r="AC3" s="5" t="n"/>
      <c r="AD3" s="5" t="n"/>
      <c r="AE3" s="5" t="n"/>
      <c r="AF3" s="5" t="n"/>
      <c r="AG3" s="5" t="n"/>
      <c r="AH3" s="5" t="n"/>
      <c r="AI3" s="5" t="n"/>
      <c r="AJ3" s="5" t="n"/>
      <c r="AK3" s="5" t="n"/>
      <c r="AL3" s="5" t="n"/>
      <c r="AM3" s="5" t="n"/>
      <c r="AN3" s="5" t="n"/>
      <c r="AO3" s="5" t="n"/>
      <c r="AP3" s="5" t="n"/>
      <c r="AQ3" s="5" t="n"/>
      <c r="AR3" s="5" t="n"/>
      <c r="AS3" s="5" t="n"/>
      <c r="AT3" s="5" t="n"/>
      <c r="AU3" s="5" t="n"/>
      <c r="AV3" s="5" t="n"/>
      <c r="AW3" s="5" t="n"/>
      <c r="AX3" s="5" t="n"/>
      <c r="AY3" s="5" t="n"/>
      <c r="AZ3" s="5" t="n"/>
      <c r="BA3" s="5" t="n"/>
      <c r="BB3" s="5" t="n"/>
      <c r="BC3" s="5" t="n"/>
      <c r="BD3" s="5" t="n"/>
      <c r="BE3" s="5" t="n"/>
      <c r="BF3" s="5" t="n"/>
    </row>
    <row r="4">
      <c r="A4" s="5" t="inlineStr">
        <is>
          <t>组合列号</t>
        </is>
      </c>
      <c r="B4" s="5">
        <f>(_zy5ipr-1)*3+_zflqft</f>
        <v/>
      </c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  <c r="AC4" s="5" t="n"/>
      <c r="AD4" s="5" t="n"/>
      <c r="AE4" s="5" t="n"/>
      <c r="AF4" s="5" t="n"/>
      <c r="AG4" s="5" t="n"/>
      <c r="AH4" s="5" t="n"/>
      <c r="AI4" s="5" t="n"/>
      <c r="AJ4" s="5" t="n"/>
      <c r="AK4" s="5" t="n"/>
      <c r="AL4" s="5" t="n"/>
      <c r="AM4" s="5" t="n"/>
      <c r="AN4" s="5" t="n"/>
      <c r="AO4" s="5" t="n"/>
      <c r="AP4" s="5" t="n"/>
      <c r="AQ4" s="5" t="n"/>
      <c r="AR4" s="5" t="n"/>
      <c r="AS4" s="5" t="n"/>
      <c r="AT4" s="5" t="n"/>
      <c r="AU4" s="5" t="n"/>
      <c r="AV4" s="5" t="n"/>
      <c r="AW4" s="5" t="n"/>
      <c r="AX4" s="5" t="n"/>
      <c r="AY4" s="5" t="n"/>
      <c r="AZ4" s="5" t="n"/>
      <c r="BA4" s="5" t="n"/>
      <c r="BB4" s="5" t="n"/>
      <c r="BC4" s="5" t="n"/>
      <c r="BD4" s="5" t="n"/>
      <c r="BE4" s="5" t="n"/>
      <c r="BF4" s="5" t="n"/>
    </row>
    <row r="5">
      <c r="A5" s="5" t="inlineStr">
        <is>
          <t>s_gen_avail</t>
        </is>
      </c>
      <c r="B5" s="5">
        <f>INDEX(_zs8gul,_zx9tbe)</f>
        <v/>
      </c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</row>
    <row r="6">
      <c r="A6" s="5" t="inlineStr">
        <is>
          <t>s_self_use</t>
        </is>
      </c>
      <c r="B6" s="5">
        <f>INDEX(_z7rtb0,_zx9tbe)</f>
        <v/>
      </c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5" t="n"/>
      <c r="AH6" s="5" t="n"/>
      <c r="AI6" s="5" t="n"/>
      <c r="AJ6" s="5" t="n"/>
      <c r="AK6" s="5" t="n"/>
      <c r="AL6" s="5" t="n"/>
      <c r="AM6" s="5" t="n"/>
      <c r="AN6" s="5" t="n"/>
      <c r="AO6" s="5" t="n"/>
      <c r="AP6" s="5" t="n"/>
      <c r="AQ6" s="5" t="n"/>
      <c r="AR6" s="5" t="n"/>
      <c r="AS6" s="5" t="n"/>
      <c r="AT6" s="5" t="n"/>
      <c r="AU6" s="5" t="n"/>
      <c r="AV6" s="5" t="n"/>
      <c r="AW6" s="5" t="n"/>
      <c r="AX6" s="5" t="n"/>
      <c r="AY6" s="5" t="n"/>
      <c r="AZ6" s="5" t="n"/>
      <c r="BA6" s="5" t="n"/>
      <c r="BB6" s="5" t="n"/>
      <c r="BC6" s="5" t="n"/>
      <c r="BD6" s="5" t="n"/>
      <c r="BE6" s="5" t="n"/>
      <c r="BF6" s="5" t="n"/>
    </row>
    <row r="7">
      <c r="A7" s="5" t="inlineStr">
        <is>
          <t>s_export</t>
        </is>
      </c>
      <c r="B7" s="5">
        <f>INDEX(_zx3hze,_zx9tbe)</f>
        <v/>
      </c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5" t="n"/>
      <c r="AH7" s="5" t="n"/>
      <c r="AI7" s="5" t="n"/>
      <c r="AJ7" s="5" t="n"/>
      <c r="AK7" s="5" t="n"/>
      <c r="AL7" s="5" t="n"/>
      <c r="AM7" s="5" t="n"/>
      <c r="AN7" s="5" t="n"/>
      <c r="AO7" s="5" t="n"/>
      <c r="AP7" s="5" t="n"/>
      <c r="AQ7" s="5" t="n"/>
      <c r="AR7" s="5" t="n"/>
      <c r="AS7" s="5" t="n"/>
      <c r="AT7" s="5" t="n"/>
      <c r="AU7" s="5" t="n"/>
      <c r="AV7" s="5" t="n"/>
      <c r="AW7" s="5" t="n"/>
      <c r="AX7" s="5" t="n"/>
      <c r="AY7" s="5" t="n"/>
      <c r="AZ7" s="5" t="n"/>
      <c r="BA7" s="5" t="n"/>
      <c r="BB7" s="5" t="n"/>
      <c r="BC7" s="5" t="n"/>
      <c r="BD7" s="5" t="n"/>
      <c r="BE7" s="5" t="n"/>
      <c r="BF7" s="5" t="n"/>
    </row>
    <row r="8">
      <c r="A8" s="5" t="inlineStr">
        <is>
          <t>s_purchase</t>
        </is>
      </c>
      <c r="B8" s="5">
        <f>INDEX(_zg5rek,_zx9tbe)</f>
        <v/>
      </c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5" t="n"/>
      <c r="AH8" s="5" t="n"/>
      <c r="AI8" s="5" t="n"/>
      <c r="AJ8" s="5" t="n"/>
      <c r="AK8" s="5" t="n"/>
      <c r="AL8" s="5" t="n"/>
      <c r="AM8" s="5" t="n"/>
      <c r="AN8" s="5" t="n"/>
      <c r="AO8" s="5" t="n"/>
      <c r="AP8" s="5" t="n"/>
      <c r="AQ8" s="5" t="n"/>
      <c r="AR8" s="5" t="n"/>
      <c r="AS8" s="5" t="n"/>
      <c r="AT8" s="5" t="n"/>
      <c r="AU8" s="5" t="n"/>
      <c r="AV8" s="5" t="n"/>
      <c r="AW8" s="5" t="n"/>
      <c r="AX8" s="5" t="n"/>
      <c r="AY8" s="5" t="n"/>
      <c r="AZ8" s="5" t="n"/>
      <c r="BA8" s="5" t="n"/>
      <c r="BB8" s="5" t="n"/>
      <c r="BC8" s="5" t="n"/>
      <c r="BD8" s="5" t="n"/>
      <c r="BE8" s="5" t="n"/>
      <c r="BF8" s="5" t="n"/>
    </row>
    <row r="9">
      <c r="A9" s="5" t="inlineStr">
        <is>
          <t>s_diesel_q</t>
        </is>
      </c>
      <c r="B9" s="5">
        <f>INDEX(_zvd8oo,_zx9tbe)</f>
        <v/>
      </c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5" t="n"/>
      <c r="AH9" s="5" t="n"/>
      <c r="AI9" s="5" t="n"/>
      <c r="AJ9" s="5" t="n"/>
      <c r="AK9" s="5" t="n"/>
      <c r="AL9" s="5" t="n"/>
      <c r="AM9" s="5" t="n"/>
      <c r="AN9" s="5" t="n"/>
      <c r="AO9" s="5" t="n"/>
      <c r="AP9" s="5" t="n"/>
      <c r="AQ9" s="5" t="n"/>
      <c r="AR9" s="5" t="n"/>
      <c r="AS9" s="5" t="n"/>
      <c r="AT9" s="5" t="n"/>
      <c r="AU9" s="5" t="n"/>
      <c r="AV9" s="5" t="n"/>
      <c r="AW9" s="5" t="n"/>
      <c r="AX9" s="5" t="n"/>
      <c r="AY9" s="5" t="n"/>
      <c r="AZ9" s="5" t="n"/>
      <c r="BA9" s="5" t="n"/>
      <c r="BB9" s="5" t="n"/>
      <c r="BC9" s="5" t="n"/>
      <c r="BD9" s="5" t="n"/>
      <c r="BE9" s="5" t="n"/>
      <c r="BF9" s="5" t="n"/>
    </row>
    <row r="10">
      <c r="A10" s="5" t="inlineStr">
        <is>
          <t>s_ess_discharge</t>
        </is>
      </c>
      <c r="B10" s="5">
        <f>INDEX(_z8uul7,_zx9tbe)</f>
        <v/>
      </c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5" t="n"/>
      <c r="AH10" s="5" t="n"/>
      <c r="AI10" s="5" t="n"/>
      <c r="AJ10" s="5" t="n"/>
      <c r="AK10" s="5" t="n"/>
      <c r="AL10" s="5" t="n"/>
      <c r="AM10" s="5" t="n"/>
      <c r="AN10" s="5" t="n"/>
      <c r="AO10" s="5" t="n"/>
      <c r="AP10" s="5" t="n"/>
      <c r="AQ10" s="5" t="n"/>
      <c r="AR10" s="5" t="n"/>
      <c r="AS10" s="5" t="n"/>
      <c r="AT10" s="5" t="n"/>
      <c r="AU10" s="5" t="n"/>
      <c r="AV10" s="5" t="n"/>
      <c r="AW10" s="5" t="n"/>
      <c r="AX10" s="5" t="n"/>
      <c r="AY10" s="5" t="n"/>
      <c r="AZ10" s="5" t="n"/>
      <c r="BA10" s="5" t="n"/>
      <c r="BB10" s="5" t="n"/>
      <c r="BC10" s="5" t="n"/>
      <c r="BD10" s="5" t="n"/>
      <c r="BE10" s="5" t="n"/>
      <c r="BF10" s="5" t="n"/>
    </row>
    <row r="11">
      <c r="A11" s="5" t="inlineStr">
        <is>
          <t>s_ess_charge_grid</t>
        </is>
      </c>
      <c r="B11" s="5">
        <f>INDEX(_zmd2n1,_zx9tbe)</f>
        <v/>
      </c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5" t="n"/>
      <c r="AH11" s="5" t="n"/>
      <c r="AI11" s="5" t="n"/>
      <c r="AJ11" s="5" t="n"/>
      <c r="AK11" s="5" t="n"/>
      <c r="AL11" s="5" t="n"/>
      <c r="AM11" s="5" t="n"/>
      <c r="AN11" s="5" t="n"/>
      <c r="AO11" s="5" t="n"/>
      <c r="AP11" s="5" t="n"/>
      <c r="AQ11" s="5" t="n"/>
      <c r="AR11" s="5" t="n"/>
      <c r="AS11" s="5" t="n"/>
      <c r="AT11" s="5" t="n"/>
      <c r="AU11" s="5" t="n"/>
      <c r="AV11" s="5" t="n"/>
      <c r="AW11" s="5" t="n"/>
      <c r="AX11" s="5" t="n"/>
      <c r="AY11" s="5" t="n"/>
      <c r="AZ11" s="5" t="n"/>
      <c r="BA11" s="5" t="n"/>
      <c r="BB11" s="5" t="n"/>
      <c r="BC11" s="5" t="n"/>
      <c r="BD11" s="5" t="n"/>
      <c r="BE11" s="5" t="n"/>
      <c r="BF11" s="5" t="n"/>
    </row>
    <row r="12">
      <c r="A12" s="5" t="inlineStr">
        <is>
          <t>s_total_load</t>
        </is>
      </c>
      <c r="B12" s="5">
        <f>INDEX(_zrss8w,_zx9tbe)</f>
        <v/>
      </c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5" t="n"/>
      <c r="AH12" s="5" t="n"/>
      <c r="AI12" s="5" t="n"/>
      <c r="AJ12" s="5" t="n"/>
      <c r="AK12" s="5" t="n"/>
      <c r="AL12" s="5" t="n"/>
      <c r="AM12" s="5" t="n"/>
      <c r="AN12" s="5" t="n"/>
      <c r="AO12" s="5" t="n"/>
      <c r="AP12" s="5" t="n"/>
      <c r="AQ12" s="5" t="n"/>
      <c r="AR12" s="5" t="n"/>
      <c r="AS12" s="5" t="n"/>
      <c r="AT12" s="5" t="n"/>
      <c r="AU12" s="5" t="n"/>
      <c r="AV12" s="5" t="n"/>
      <c r="AW12" s="5" t="n"/>
      <c r="AX12" s="5" t="n"/>
      <c r="AY12" s="5" t="n"/>
      <c r="AZ12" s="5" t="n"/>
      <c r="BA12" s="5" t="n"/>
      <c r="BB12" s="5" t="n"/>
      <c r="BC12" s="5" t="n"/>
      <c r="BD12" s="5" t="n"/>
      <c r="BE12" s="5" t="n"/>
      <c r="BF12" s="5" t="n"/>
    </row>
    <row r="13">
      <c r="A13" s="5" t="inlineStr">
        <is>
          <t>s_energy_cost</t>
        </is>
      </c>
      <c r="B13" s="5">
        <f>INDEX(_zxylnr,_zx9tbe)</f>
        <v/>
      </c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5" t="n"/>
      <c r="AH13" s="5" t="n"/>
      <c r="AI13" s="5" t="n"/>
      <c r="AJ13" s="5" t="n"/>
      <c r="AK13" s="5" t="n"/>
      <c r="AL13" s="5" t="n"/>
      <c r="AM13" s="5" t="n"/>
      <c r="AN13" s="5" t="n"/>
      <c r="AO13" s="5" t="n"/>
      <c r="AP13" s="5" t="n"/>
      <c r="AQ13" s="5" t="n"/>
      <c r="AR13" s="5" t="n"/>
      <c r="AS13" s="5" t="n"/>
      <c r="AT13" s="5" t="n"/>
      <c r="AU13" s="5" t="n"/>
      <c r="AV13" s="5" t="n"/>
      <c r="AW13" s="5" t="n"/>
      <c r="AX13" s="5" t="n"/>
      <c r="AY13" s="5" t="n"/>
      <c r="AZ13" s="5" t="n"/>
      <c r="BA13" s="5" t="n"/>
      <c r="BB13" s="5" t="n"/>
      <c r="BC13" s="5" t="n"/>
      <c r="BD13" s="5" t="n"/>
      <c r="BE13" s="5" t="n"/>
      <c r="BF13" s="5" t="n"/>
    </row>
    <row r="14">
      <c r="A14" s="5" t="inlineStr">
        <is>
          <t>s_demand_fee</t>
        </is>
      </c>
      <c r="B14" s="5">
        <f>INDEX(_zcmix6,_zx9tbe)</f>
        <v/>
      </c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  <c r="BF14" s="5" t="n"/>
    </row>
    <row r="15">
      <c r="A15" s="5" t="inlineStr">
        <is>
          <t>s_td_fee_1192</t>
        </is>
      </c>
      <c r="B15" s="5">
        <f>INDEX(_zc9vmb,_zx9tbe)</f>
        <v/>
      </c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  <c r="BF15" s="5" t="n"/>
    </row>
    <row r="16">
      <c r="A16" s="5" t="inlineStr">
        <is>
          <t>s_fund_fee_1192</t>
        </is>
      </c>
      <c r="B16" s="5">
        <f>INDEX(_zmt7yq,_zx9tbe)</f>
        <v/>
      </c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  <c r="BD16" s="5" t="n"/>
      <c r="BE16" s="5" t="n"/>
      <c r="BF16" s="5" t="n"/>
    </row>
    <row r="17">
      <c r="A17" s="5" t="inlineStr">
        <is>
          <t>s_dg_cost</t>
        </is>
      </c>
      <c r="B17" s="5">
        <f>INDEX(_zgrhmu,_zx9tbe)</f>
        <v/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  <c r="BD17" s="5" t="n"/>
      <c r="BE17" s="5" t="n"/>
      <c r="BF17" s="5" t="n"/>
    </row>
    <row r="18">
      <c r="A18" s="5" t="inlineStr">
        <is>
          <t>s_other_cost</t>
        </is>
      </c>
      <c r="B18" s="5">
        <f>INDEX(_z2124k,_zx9tbe)</f>
        <v/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  <c r="BD18" s="5" t="n"/>
      <c r="BE18" s="5" t="n"/>
      <c r="BF18" s="5" t="n"/>
    </row>
    <row r="19">
      <c r="A19" s="5" t="inlineStr">
        <is>
          <t>s_user_total</t>
        </is>
      </c>
      <c r="B19" s="5">
        <f>INDEX(_zqq9kl,_zx9tbe)</f>
        <v/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  <c r="BF19" s="5" t="n"/>
    </row>
    <row r="20">
      <c r="A20" s="5" t="inlineStr">
        <is>
          <t>s_user_avg_price</t>
        </is>
      </c>
      <c r="B20" s="5">
        <f>INDEX(_z24fjs,_zx9tbe)</f>
        <v/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  <c r="AC20" s="5" t="n"/>
      <c r="AD20" s="5" t="n"/>
      <c r="AE20" s="5" t="n"/>
      <c r="AF20" s="5" t="n"/>
      <c r="AG20" s="5" t="n"/>
      <c r="AH20" s="5" t="n"/>
      <c r="AI20" s="5" t="n"/>
      <c r="AJ20" s="5" t="n"/>
      <c r="AK20" s="5" t="n"/>
      <c r="AL20" s="5" t="n"/>
      <c r="AM20" s="5" t="n"/>
      <c r="AN20" s="5" t="n"/>
      <c r="AO20" s="5" t="n"/>
      <c r="AP20" s="5" t="n"/>
      <c r="AQ20" s="5" t="n"/>
      <c r="AR20" s="5" t="n"/>
      <c r="AS20" s="5" t="n"/>
      <c r="AT20" s="5" t="n"/>
      <c r="AU20" s="5" t="n"/>
      <c r="AV20" s="5" t="n"/>
      <c r="AW20" s="5" t="n"/>
      <c r="AX20" s="5" t="n"/>
      <c r="AY20" s="5" t="n"/>
      <c r="AZ20" s="5" t="n"/>
      <c r="BA20" s="5" t="n"/>
      <c r="BB20" s="5" t="n"/>
      <c r="BC20" s="5" t="n"/>
      <c r="BD20" s="5" t="n"/>
      <c r="BE20" s="5" t="n"/>
      <c r="BF20" s="5" t="n"/>
    </row>
    <row r="21">
      <c r="A21" s="5" t="inlineStr">
        <is>
          <t>s_baseline</t>
        </is>
      </c>
      <c r="B21" s="5">
        <f>INDEX(_zziz19,_zx9tbe)</f>
        <v/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  <c r="AC21" s="5" t="n"/>
      <c r="AD21" s="5" t="n"/>
      <c r="AE21" s="5" t="n"/>
      <c r="AF21" s="5" t="n"/>
      <c r="AG21" s="5" t="n"/>
      <c r="AH21" s="5" t="n"/>
      <c r="AI21" s="5" t="n"/>
      <c r="AJ21" s="5" t="n"/>
      <c r="AK21" s="5" t="n"/>
      <c r="AL21" s="5" t="n"/>
      <c r="AM21" s="5" t="n"/>
      <c r="AN21" s="5" t="n"/>
      <c r="AO21" s="5" t="n"/>
      <c r="AP21" s="5" t="n"/>
      <c r="AQ21" s="5" t="n"/>
      <c r="AR21" s="5" t="n"/>
      <c r="AS21" s="5" t="n"/>
      <c r="AT21" s="5" t="n"/>
      <c r="AU21" s="5" t="n"/>
      <c r="AV21" s="5" t="n"/>
      <c r="AW21" s="5" t="n"/>
      <c r="AX21" s="5" t="n"/>
      <c r="AY21" s="5" t="n"/>
      <c r="AZ21" s="5" t="n"/>
      <c r="BA21" s="5" t="n"/>
      <c r="BB21" s="5" t="n"/>
      <c r="BC21" s="5" t="n"/>
      <c r="BD21" s="5" t="n"/>
      <c r="BE21" s="5" t="n"/>
      <c r="BF21" s="5" t="n"/>
    </row>
    <row r="22">
      <c r="A22" s="5" t="inlineStr">
        <is>
          <t>s_saving</t>
        </is>
      </c>
      <c r="B22" s="5">
        <f>INDEX(_zg9g0j,_zx9tbe)</f>
        <v/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  <c r="BD22" s="5" t="n"/>
      <c r="BE22" s="5" t="n"/>
      <c r="BF22" s="5" t="n"/>
    </row>
    <row r="23">
      <c r="A23" s="5" t="inlineStr">
        <is>
          <t>s_saving_rate</t>
        </is>
      </c>
      <c r="B23" s="5">
        <f>INDEX(_zpq4om,_zx9tbe)</f>
        <v/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  <c r="BD23" s="5" t="n"/>
      <c r="BE23" s="5" t="n"/>
      <c r="BF23" s="5" t="n"/>
    </row>
    <row r="24">
      <c r="A24" s="5" t="inlineStr">
        <is>
          <t>s_rev_selfuse</t>
        </is>
      </c>
      <c r="B24" s="5">
        <f>INDEX(_zs2zbw,_zx9tbe)</f>
        <v/>
      </c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  <c r="AC24" s="5" t="n"/>
      <c r="AD24" s="5" t="n"/>
      <c r="AE24" s="5" t="n"/>
      <c r="AF24" s="5" t="n"/>
      <c r="AG24" s="5" t="n"/>
      <c r="AH24" s="5" t="n"/>
      <c r="AI24" s="5" t="n"/>
      <c r="AJ24" s="5" t="n"/>
      <c r="AK24" s="5" t="n"/>
      <c r="AL24" s="5" t="n"/>
      <c r="AM24" s="5" t="n"/>
      <c r="AN24" s="5" t="n"/>
      <c r="AO24" s="5" t="n"/>
      <c r="AP24" s="5" t="n"/>
      <c r="AQ24" s="5" t="n"/>
      <c r="AR24" s="5" t="n"/>
      <c r="AS24" s="5" t="n"/>
      <c r="AT24" s="5" t="n"/>
      <c r="AU24" s="5" t="n"/>
      <c r="AV24" s="5" t="n"/>
      <c r="AW24" s="5" t="n"/>
      <c r="AX24" s="5" t="n"/>
      <c r="AY24" s="5" t="n"/>
      <c r="AZ24" s="5" t="n"/>
      <c r="BA24" s="5" t="n"/>
      <c r="BB24" s="5" t="n"/>
      <c r="BC24" s="5" t="n"/>
      <c r="BD24" s="5" t="n"/>
      <c r="BE24" s="5" t="n"/>
      <c r="BF24" s="5" t="n"/>
    </row>
    <row r="25">
      <c r="A25" s="5" t="inlineStr">
        <is>
          <t>s_rev_arbitrage</t>
        </is>
      </c>
      <c r="B25" s="5">
        <f>INDEX(_zjyrt0,_zx9tbe)</f>
        <v/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  <c r="AD25" s="5" t="n"/>
      <c r="AE25" s="5" t="n"/>
      <c r="AF25" s="5" t="n"/>
      <c r="AG25" s="5" t="n"/>
      <c r="AH25" s="5" t="n"/>
      <c r="AI25" s="5" t="n"/>
      <c r="AJ25" s="5" t="n"/>
      <c r="AK25" s="5" t="n"/>
      <c r="AL25" s="5" t="n"/>
      <c r="AM25" s="5" t="n"/>
      <c r="AN25" s="5" t="n"/>
      <c r="AO25" s="5" t="n"/>
      <c r="AP25" s="5" t="n"/>
      <c r="AQ25" s="5" t="n"/>
      <c r="AR25" s="5" t="n"/>
      <c r="AS25" s="5" t="n"/>
      <c r="AT25" s="5" t="n"/>
      <c r="AU25" s="5" t="n"/>
      <c r="AV25" s="5" t="n"/>
      <c r="AW25" s="5" t="n"/>
      <c r="AX25" s="5" t="n"/>
      <c r="AY25" s="5" t="n"/>
      <c r="AZ25" s="5" t="n"/>
      <c r="BA25" s="5" t="n"/>
      <c r="BB25" s="5" t="n"/>
      <c r="BC25" s="5" t="n"/>
      <c r="BD25" s="5" t="n"/>
      <c r="BE25" s="5" t="n"/>
      <c r="BF25" s="5" t="n"/>
    </row>
    <row r="26">
      <c r="A26" s="5" t="inlineStr">
        <is>
          <t>s_rev_demand_saving</t>
        </is>
      </c>
      <c r="B26" s="5">
        <f>INDEX(_zy9h20,_zx9tbe)</f>
        <v/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  <c r="AC26" s="5" t="n"/>
      <c r="AD26" s="5" t="n"/>
      <c r="AE26" s="5" t="n"/>
      <c r="AF26" s="5" t="n"/>
      <c r="AG26" s="5" t="n"/>
      <c r="AH26" s="5" t="n"/>
      <c r="AI26" s="5" t="n"/>
      <c r="AJ26" s="5" t="n"/>
      <c r="AK26" s="5" t="n"/>
      <c r="AL26" s="5" t="n"/>
      <c r="AM26" s="5" t="n"/>
      <c r="AN26" s="5" t="n"/>
      <c r="AO26" s="5" t="n"/>
      <c r="AP26" s="5" t="n"/>
      <c r="AQ26" s="5" t="n"/>
      <c r="AR26" s="5" t="n"/>
      <c r="AS26" s="5" t="n"/>
      <c r="AT26" s="5" t="n"/>
      <c r="AU26" s="5" t="n"/>
      <c r="AV26" s="5" t="n"/>
      <c r="AW26" s="5" t="n"/>
      <c r="AX26" s="5" t="n"/>
      <c r="AY26" s="5" t="n"/>
      <c r="AZ26" s="5" t="n"/>
      <c r="BA26" s="5" t="n"/>
      <c r="BB26" s="5" t="n"/>
      <c r="BC26" s="5" t="n"/>
      <c r="BD26" s="5" t="n"/>
      <c r="BE26" s="5" t="n"/>
      <c r="BF26" s="5" t="n"/>
    </row>
    <row r="27">
      <c r="A27" s="5" t="inlineStr">
        <is>
          <t>s_rev_export</t>
        </is>
      </c>
      <c r="B27" s="5">
        <f>INDEX(_zvhtq5,_zx9tbe)</f>
        <v/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  <c r="AC27" s="5" t="n"/>
      <c r="AD27" s="5" t="n"/>
      <c r="AE27" s="5" t="n"/>
      <c r="AF27" s="5" t="n"/>
      <c r="AG27" s="5" t="n"/>
      <c r="AH27" s="5" t="n"/>
      <c r="AI27" s="5" t="n"/>
      <c r="AJ27" s="5" t="n"/>
      <c r="AK27" s="5" t="n"/>
      <c r="AL27" s="5" t="n"/>
      <c r="AM27" s="5" t="n"/>
      <c r="AN27" s="5" t="n"/>
      <c r="AO27" s="5" t="n"/>
      <c r="AP27" s="5" t="n"/>
      <c r="AQ27" s="5" t="n"/>
      <c r="AR27" s="5" t="n"/>
      <c r="AS27" s="5" t="n"/>
      <c r="AT27" s="5" t="n"/>
      <c r="AU27" s="5" t="n"/>
      <c r="AV27" s="5" t="n"/>
      <c r="AW27" s="5" t="n"/>
      <c r="AX27" s="5" t="n"/>
      <c r="AY27" s="5" t="n"/>
      <c r="AZ27" s="5" t="n"/>
      <c r="BA27" s="5" t="n"/>
      <c r="BB27" s="5" t="n"/>
      <c r="BC27" s="5" t="n"/>
      <c r="BD27" s="5" t="n"/>
      <c r="BE27" s="5" t="n"/>
      <c r="BF27" s="5" t="n"/>
    </row>
    <row r="28">
      <c r="A28" s="5" t="inlineStr">
        <is>
          <t>s_rev_dr</t>
        </is>
      </c>
      <c r="B28" s="5">
        <f>INDEX(_z8a1yw,_zx9tbe)</f>
        <v/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  <c r="BF28" s="5" t="n"/>
    </row>
    <row r="29">
      <c r="A29" s="5" t="inlineStr">
        <is>
          <t>s_rev_ev</t>
        </is>
      </c>
      <c r="B29" s="5">
        <f>INDEX(_zw9i4c,_zx9tbe)</f>
        <v/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  <c r="AC29" s="5" t="n"/>
      <c r="AD29" s="5" t="n"/>
      <c r="AE29" s="5" t="n"/>
      <c r="AF29" s="5" t="n"/>
      <c r="AG29" s="5" t="n"/>
      <c r="AH29" s="5" t="n"/>
      <c r="AI29" s="5" t="n"/>
      <c r="AJ29" s="5" t="n"/>
      <c r="AK29" s="5" t="n"/>
      <c r="AL29" s="5" t="n"/>
      <c r="AM29" s="5" t="n"/>
      <c r="AN29" s="5" t="n"/>
      <c r="AO29" s="5" t="n"/>
      <c r="AP29" s="5" t="n"/>
      <c r="AQ29" s="5" t="n"/>
      <c r="AR29" s="5" t="n"/>
      <c r="AS29" s="5" t="n"/>
      <c r="AT29" s="5" t="n"/>
      <c r="AU29" s="5" t="n"/>
      <c r="AV29" s="5" t="n"/>
      <c r="AW29" s="5" t="n"/>
      <c r="AX29" s="5" t="n"/>
      <c r="AY29" s="5" t="n"/>
      <c r="AZ29" s="5" t="n"/>
      <c r="BA29" s="5" t="n"/>
      <c r="BB29" s="5" t="n"/>
      <c r="BC29" s="5" t="n"/>
      <c r="BD29" s="5" t="n"/>
      <c r="BE29" s="5" t="n"/>
      <c r="BF29" s="5" t="n"/>
    </row>
    <row r="30">
      <c r="A30" s="5" t="inlineStr">
        <is>
          <t>s_green_avoid</t>
        </is>
      </c>
      <c r="B30" s="5">
        <f>INDEX(_z83gdf,_zx9tbe)</f>
        <v/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  <c r="AC30" s="5" t="n"/>
      <c r="AD30" s="5" t="n"/>
      <c r="AE30" s="5" t="n"/>
      <c r="AF30" s="5" t="n"/>
      <c r="AG30" s="5" t="n"/>
      <c r="AH30" s="5" t="n"/>
      <c r="AI30" s="5" t="n"/>
      <c r="AJ30" s="5" t="n"/>
      <c r="AK30" s="5" t="n"/>
      <c r="AL30" s="5" t="n"/>
      <c r="AM30" s="5" t="n"/>
      <c r="AN30" s="5" t="n"/>
      <c r="AO30" s="5" t="n"/>
      <c r="AP30" s="5" t="n"/>
      <c r="AQ30" s="5" t="n"/>
      <c r="AR30" s="5" t="n"/>
      <c r="AS30" s="5" t="n"/>
      <c r="AT30" s="5" t="n"/>
      <c r="AU30" s="5" t="n"/>
      <c r="AV30" s="5" t="n"/>
      <c r="AW30" s="5" t="n"/>
      <c r="AX30" s="5" t="n"/>
      <c r="AY30" s="5" t="n"/>
      <c r="AZ30" s="5" t="n"/>
      <c r="BA30" s="5" t="n"/>
      <c r="BB30" s="5" t="n"/>
      <c r="BC30" s="5" t="n"/>
      <c r="BD30" s="5" t="n"/>
      <c r="BE30" s="5" t="n"/>
      <c r="BF30" s="5" t="n"/>
    </row>
    <row r="31">
      <c r="A31" s="5" t="inlineStr">
        <is>
          <t>s_ratio_self_of_gen</t>
        </is>
      </c>
      <c r="B31" s="5">
        <f>INDEX(_zrngfq,_zx9tbe)</f>
        <v/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  <c r="BF31" s="5" t="n"/>
    </row>
    <row r="32">
      <c r="A32" s="5" t="inlineStr">
        <is>
          <t>s_ratio_self_of_load</t>
        </is>
      </c>
      <c r="B32" s="5">
        <f>INDEX(_z34nes,_zx9tbe)</f>
        <v/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  <c r="AC32" s="5" t="n"/>
      <c r="AD32" s="5" t="n"/>
      <c r="AE32" s="5" t="n"/>
      <c r="AF32" s="5" t="n"/>
      <c r="AG32" s="5" t="n"/>
      <c r="AH32" s="5" t="n"/>
      <c r="AI32" s="5" t="n"/>
      <c r="AJ32" s="5" t="n"/>
      <c r="AK32" s="5" t="n"/>
      <c r="AL32" s="5" t="n"/>
      <c r="AM32" s="5" t="n"/>
      <c r="AN32" s="5" t="n"/>
      <c r="AO32" s="5" t="n"/>
      <c r="AP32" s="5" t="n"/>
      <c r="AQ32" s="5" t="n"/>
      <c r="AR32" s="5" t="n"/>
      <c r="AS32" s="5" t="n"/>
      <c r="AT32" s="5" t="n"/>
      <c r="AU32" s="5" t="n"/>
      <c r="AV32" s="5" t="n"/>
      <c r="AW32" s="5" t="n"/>
      <c r="AX32" s="5" t="n"/>
      <c r="AY32" s="5" t="n"/>
      <c r="AZ32" s="5" t="n"/>
      <c r="BA32" s="5" t="n"/>
      <c r="BB32" s="5" t="n"/>
      <c r="BC32" s="5" t="n"/>
      <c r="BD32" s="5" t="n"/>
      <c r="BE32" s="5" t="n"/>
      <c r="BF32" s="5" t="n"/>
    </row>
    <row r="33">
      <c r="A33" s="5" t="inlineStr">
        <is>
          <t>s_re_capacity_share</t>
        </is>
      </c>
      <c r="B33" s="5">
        <f>INDEX(_zsyvua,_zx9tbe)</f>
        <v/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  <c r="BD33" s="5" t="n"/>
      <c r="BE33" s="5" t="n"/>
      <c r="BF33" s="5" t="n"/>
    </row>
    <row r="34">
      <c r="A34" s="5" t="inlineStr">
        <is>
          <t>s_pv_mw</t>
        </is>
      </c>
      <c r="B34" s="5">
        <f>INDEX(_ztu197,_zx9tbe)</f>
        <v/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  <c r="AC34" s="5" t="n"/>
      <c r="AD34" s="5" t="n"/>
      <c r="AE34" s="5" t="n"/>
      <c r="AF34" s="5" t="n"/>
      <c r="AG34" s="5" t="n"/>
      <c r="AH34" s="5" t="n"/>
      <c r="AI34" s="5" t="n"/>
      <c r="AJ34" s="5" t="n"/>
      <c r="AK34" s="5" t="n"/>
      <c r="AL34" s="5" t="n"/>
      <c r="AM34" s="5" t="n"/>
      <c r="AN34" s="5" t="n"/>
      <c r="AO34" s="5" t="n"/>
      <c r="AP34" s="5" t="n"/>
      <c r="AQ34" s="5" t="n"/>
      <c r="AR34" s="5" t="n"/>
      <c r="AS34" s="5" t="n"/>
      <c r="AT34" s="5" t="n"/>
      <c r="AU34" s="5" t="n"/>
      <c r="AV34" s="5" t="n"/>
      <c r="AW34" s="5" t="n"/>
      <c r="AX34" s="5" t="n"/>
      <c r="AY34" s="5" t="n"/>
      <c r="AZ34" s="5" t="n"/>
      <c r="BA34" s="5" t="n"/>
      <c r="BB34" s="5" t="n"/>
      <c r="BC34" s="5" t="n"/>
      <c r="BD34" s="5" t="n"/>
      <c r="BE34" s="5" t="n"/>
      <c r="BF34" s="5" t="n"/>
    </row>
    <row r="35">
      <c r="A35" s="5" t="inlineStr">
        <is>
          <t>s_wind_mw</t>
        </is>
      </c>
      <c r="B35" s="5">
        <f>INDEX(_zdz3nh,_zx9tbe)</f>
        <v/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  <c r="AC35" s="5" t="n"/>
      <c r="AD35" s="5" t="n"/>
      <c r="AE35" s="5" t="n"/>
      <c r="AF35" s="5" t="n"/>
      <c r="AG35" s="5" t="n"/>
      <c r="AH35" s="5" t="n"/>
      <c r="AI35" s="5" t="n"/>
      <c r="AJ35" s="5" t="n"/>
      <c r="AK35" s="5" t="n"/>
      <c r="AL35" s="5" t="n"/>
      <c r="AM35" s="5" t="n"/>
      <c r="AN35" s="5" t="n"/>
      <c r="AO35" s="5" t="n"/>
      <c r="AP35" s="5" t="n"/>
      <c r="AQ35" s="5" t="n"/>
      <c r="AR35" s="5" t="n"/>
      <c r="AS35" s="5" t="n"/>
      <c r="AT35" s="5" t="n"/>
      <c r="AU35" s="5" t="n"/>
      <c r="AV35" s="5" t="n"/>
      <c r="AW35" s="5" t="n"/>
      <c r="AX35" s="5" t="n"/>
      <c r="AY35" s="5" t="n"/>
      <c r="AZ35" s="5" t="n"/>
      <c r="BA35" s="5" t="n"/>
      <c r="BB35" s="5" t="n"/>
      <c r="BC35" s="5" t="n"/>
      <c r="BD35" s="5" t="n"/>
      <c r="BE35" s="5" t="n"/>
      <c r="BF35" s="5" t="n"/>
    </row>
    <row r="36">
      <c r="A36" s="5" t="inlineStr">
        <is>
          <t>s_ess_mw</t>
        </is>
      </c>
      <c r="B36" s="5">
        <f>INDEX(_z59qak,_zx9tbe)</f>
        <v/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  <c r="BF36" s="5" t="n"/>
    </row>
    <row r="37">
      <c r="A37" s="5" t="inlineStr">
        <is>
          <t>s_ess_mwh</t>
        </is>
      </c>
      <c r="B37" s="5">
        <f>INDEX(_z7g7nz,_zx9tbe)</f>
        <v/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  <c r="AC37" s="5" t="n"/>
      <c r="AD37" s="5" t="n"/>
      <c r="AE37" s="5" t="n"/>
      <c r="AF37" s="5" t="n"/>
      <c r="AG37" s="5" t="n"/>
      <c r="AH37" s="5" t="n"/>
      <c r="AI37" s="5" t="n"/>
      <c r="AJ37" s="5" t="n"/>
      <c r="AK37" s="5" t="n"/>
      <c r="AL37" s="5" t="n"/>
      <c r="AM37" s="5" t="n"/>
      <c r="AN37" s="5" t="n"/>
      <c r="AO37" s="5" t="n"/>
      <c r="AP37" s="5" t="n"/>
      <c r="AQ37" s="5" t="n"/>
      <c r="AR37" s="5" t="n"/>
      <c r="AS37" s="5" t="n"/>
      <c r="AT37" s="5" t="n"/>
      <c r="AU37" s="5" t="n"/>
      <c r="AV37" s="5" t="n"/>
      <c r="AW37" s="5" t="n"/>
      <c r="AX37" s="5" t="n"/>
      <c r="AY37" s="5" t="n"/>
      <c r="AZ37" s="5" t="n"/>
      <c r="BA37" s="5" t="n"/>
      <c r="BB37" s="5" t="n"/>
      <c r="BC37" s="5" t="n"/>
      <c r="BD37" s="5" t="n"/>
      <c r="BE37" s="5" t="n"/>
      <c r="BF37" s="5" t="n"/>
    </row>
    <row r="38">
      <c r="A38" s="5" t="inlineStr">
        <is>
          <t>s_dg_mw</t>
        </is>
      </c>
      <c r="B38" s="5">
        <f>INDEX(_zuo7z3,_zx9tbe)</f>
        <v/>
      </c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  <c r="AC38" s="5" t="n"/>
      <c r="AD38" s="5" t="n"/>
      <c r="AE38" s="5" t="n"/>
      <c r="AF38" s="5" t="n"/>
      <c r="AG38" s="5" t="n"/>
      <c r="AH38" s="5" t="n"/>
      <c r="AI38" s="5" t="n"/>
      <c r="AJ38" s="5" t="n"/>
      <c r="AK38" s="5" t="n"/>
      <c r="AL38" s="5" t="n"/>
      <c r="AM38" s="5" t="n"/>
      <c r="AN38" s="5" t="n"/>
      <c r="AO38" s="5" t="n"/>
      <c r="AP38" s="5" t="n"/>
      <c r="AQ38" s="5" t="n"/>
      <c r="AR38" s="5" t="n"/>
      <c r="AS38" s="5" t="n"/>
      <c r="AT38" s="5" t="n"/>
      <c r="AU38" s="5" t="n"/>
      <c r="AV38" s="5" t="n"/>
      <c r="AW38" s="5" t="n"/>
      <c r="AX38" s="5" t="n"/>
      <c r="AY38" s="5" t="n"/>
      <c r="AZ38" s="5" t="n"/>
      <c r="BA38" s="5" t="n"/>
      <c r="BB38" s="5" t="n"/>
      <c r="BC38" s="5" t="n"/>
      <c r="BD38" s="5" t="n"/>
      <c r="BE38" s="5" t="n"/>
      <c r="BF38" s="5" t="n"/>
    </row>
    <row r="39">
      <c r="A39" s="5" t="inlineStr">
        <is>
          <t>capex_pv</t>
        </is>
      </c>
      <c r="B39" s="5">
        <f>_z35787*_zqeqjw*100</f>
        <v/>
      </c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  <c r="BF39" s="5" t="n"/>
    </row>
    <row r="40">
      <c r="A40" s="5" t="inlineStr">
        <is>
          <t>capex_wind</t>
        </is>
      </c>
      <c r="B40" s="5">
        <f>_zm0jdo*_zzg0id*100</f>
        <v/>
      </c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  <c r="AC40" s="5" t="n"/>
      <c r="AD40" s="5" t="n"/>
      <c r="AE40" s="5" t="n"/>
      <c r="AF40" s="5" t="n"/>
      <c r="AG40" s="5" t="n"/>
      <c r="AH40" s="5" t="n"/>
      <c r="AI40" s="5" t="n"/>
      <c r="AJ40" s="5" t="n"/>
      <c r="AK40" s="5" t="n"/>
      <c r="AL40" s="5" t="n"/>
      <c r="AM40" s="5" t="n"/>
      <c r="AN40" s="5" t="n"/>
      <c r="AO40" s="5" t="n"/>
      <c r="AP40" s="5" t="n"/>
      <c r="AQ40" s="5" t="n"/>
      <c r="AR40" s="5" t="n"/>
      <c r="AS40" s="5" t="n"/>
      <c r="AT40" s="5" t="n"/>
      <c r="AU40" s="5" t="n"/>
      <c r="AV40" s="5" t="n"/>
      <c r="AW40" s="5" t="n"/>
      <c r="AX40" s="5" t="n"/>
      <c r="AY40" s="5" t="n"/>
      <c r="AZ40" s="5" t="n"/>
      <c r="BA40" s="5" t="n"/>
      <c r="BB40" s="5" t="n"/>
      <c r="BC40" s="5" t="n"/>
      <c r="BD40" s="5" t="n"/>
      <c r="BE40" s="5" t="n"/>
      <c r="BF40" s="5" t="n"/>
    </row>
    <row r="41">
      <c r="A41" s="5" t="inlineStr">
        <is>
          <t>capex_ess</t>
        </is>
      </c>
      <c r="B41" s="5">
        <f>_z9ck23*_zv2cfz*100</f>
        <v/>
      </c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  <c r="AC41" s="5" t="n"/>
      <c r="AD41" s="5" t="n"/>
      <c r="AE41" s="5" t="n"/>
      <c r="AF41" s="5" t="n"/>
      <c r="AG41" s="5" t="n"/>
      <c r="AH41" s="5" t="n"/>
      <c r="AI41" s="5" t="n"/>
      <c r="AJ41" s="5" t="n"/>
      <c r="AK41" s="5" t="n"/>
      <c r="AL41" s="5" t="n"/>
      <c r="AM41" s="5" t="n"/>
      <c r="AN41" s="5" t="n"/>
      <c r="AO41" s="5" t="n"/>
      <c r="AP41" s="5" t="n"/>
      <c r="AQ41" s="5" t="n"/>
      <c r="AR41" s="5" t="n"/>
      <c r="AS41" s="5" t="n"/>
      <c r="AT41" s="5" t="n"/>
      <c r="AU41" s="5" t="n"/>
      <c r="AV41" s="5" t="n"/>
      <c r="AW41" s="5" t="n"/>
      <c r="AX41" s="5" t="n"/>
      <c r="AY41" s="5" t="n"/>
      <c r="AZ41" s="5" t="n"/>
      <c r="BA41" s="5" t="n"/>
      <c r="BB41" s="5" t="n"/>
      <c r="BC41" s="5" t="n"/>
      <c r="BD41" s="5" t="n"/>
      <c r="BE41" s="5" t="n"/>
      <c r="BF41" s="5" t="n"/>
    </row>
    <row r="42">
      <c r="A42" s="5" t="inlineStr">
        <is>
          <t>capex_dg</t>
        </is>
      </c>
      <c r="B42" s="5">
        <f>_zaapf6*_zqixf0*100</f>
        <v/>
      </c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  <c r="AC42" s="5" t="n"/>
      <c r="AD42" s="5" t="n"/>
      <c r="AE42" s="5" t="n"/>
      <c r="AF42" s="5" t="n"/>
      <c r="AG42" s="5" t="n"/>
      <c r="AH42" s="5" t="n"/>
      <c r="AI42" s="5" t="n"/>
      <c r="AJ42" s="5" t="n"/>
      <c r="AK42" s="5" t="n"/>
      <c r="AL42" s="5" t="n"/>
      <c r="AM42" s="5" t="n"/>
      <c r="AN42" s="5" t="n"/>
      <c r="AO42" s="5" t="n"/>
      <c r="AP42" s="5" t="n"/>
      <c r="AQ42" s="5" t="n"/>
      <c r="AR42" s="5" t="n"/>
      <c r="AS42" s="5" t="n"/>
      <c r="AT42" s="5" t="n"/>
      <c r="AU42" s="5" t="n"/>
      <c r="AV42" s="5" t="n"/>
      <c r="AW42" s="5" t="n"/>
      <c r="AX42" s="5" t="n"/>
      <c r="AY42" s="5" t="n"/>
      <c r="AZ42" s="5" t="n"/>
      <c r="BA42" s="5" t="n"/>
      <c r="BB42" s="5" t="n"/>
      <c r="BC42" s="5" t="n"/>
      <c r="BD42" s="5" t="n"/>
      <c r="BE42" s="5" t="n"/>
      <c r="BF42" s="5" t="n"/>
    </row>
    <row r="43">
      <c r="A43" s="5" t="inlineStr">
        <is>
          <t>capex_total</t>
        </is>
      </c>
      <c r="B43" s="5">
        <f>_zkh06o+_z517d3+_z4p8is+_zka9am+_zh76h3+_zcyms1+_zghrhb</f>
        <v/>
      </c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  <c r="BF43" s="5" t="n"/>
    </row>
    <row r="44">
      <c r="A44" s="5" t="inlineStr">
        <is>
          <t>holiday_share</t>
        </is>
      </c>
      <c r="B44" s="5">
        <f>IF(_z1tt59&gt;0,(_zkh06o+_z517d3)/_z1tt59,0)</f>
        <v/>
      </c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  <c r="BF44" s="5" t="n"/>
    </row>
    <row r="45">
      <c r="A45" s="5" t="inlineStr">
        <is>
          <t>n_years</t>
        </is>
      </c>
      <c r="B45" s="5">
        <f>ROUND(_z9rhi7,0)</f>
        <v/>
      </c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  <c r="AC45" s="5" t="n"/>
      <c r="AD45" s="5" t="n"/>
      <c r="AE45" s="5" t="n"/>
      <c r="AF45" s="5" t="n"/>
      <c r="AG45" s="5" t="n"/>
      <c r="AH45" s="5" t="n"/>
      <c r="AI45" s="5" t="n"/>
      <c r="AJ45" s="5" t="n"/>
      <c r="AK45" s="5" t="n"/>
      <c r="AL45" s="5" t="n"/>
      <c r="AM45" s="5" t="n"/>
      <c r="AN45" s="5" t="n"/>
      <c r="AO45" s="5" t="n"/>
      <c r="AP45" s="5" t="n"/>
      <c r="AQ45" s="5" t="n"/>
      <c r="AR45" s="5" t="n"/>
      <c r="AS45" s="5" t="n"/>
      <c r="AT45" s="5" t="n"/>
      <c r="AU45" s="5" t="n"/>
      <c r="AV45" s="5" t="n"/>
      <c r="AW45" s="5" t="n"/>
      <c r="AX45" s="5" t="n"/>
      <c r="AY45" s="5" t="n"/>
      <c r="AZ45" s="5" t="n"/>
      <c r="BA45" s="5" t="n"/>
      <c r="BB45" s="5" t="n"/>
      <c r="BC45" s="5" t="n"/>
      <c r="BD45" s="5" t="n"/>
      <c r="BE45" s="5" t="n"/>
      <c r="BF45" s="5" t="n"/>
    </row>
    <row r="46">
      <c r="A46" s="5" t="inlineStr">
        <is>
          <t>equity</t>
        </is>
      </c>
      <c r="B46" s="5">
        <f>_z1tt59*_zzd9na</f>
        <v/>
      </c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  <c r="AC46" s="5" t="n"/>
      <c r="AD46" s="5" t="n"/>
      <c r="AE46" s="5" t="n"/>
      <c r="AF46" s="5" t="n"/>
      <c r="AG46" s="5" t="n"/>
      <c r="AH46" s="5" t="n"/>
      <c r="AI46" s="5" t="n"/>
      <c r="AJ46" s="5" t="n"/>
      <c r="AK46" s="5" t="n"/>
      <c r="AL46" s="5" t="n"/>
      <c r="AM46" s="5" t="n"/>
      <c r="AN46" s="5" t="n"/>
      <c r="AO46" s="5" t="n"/>
      <c r="AP46" s="5" t="n"/>
      <c r="AQ46" s="5" t="n"/>
      <c r="AR46" s="5" t="n"/>
      <c r="AS46" s="5" t="n"/>
      <c r="AT46" s="5" t="n"/>
      <c r="AU46" s="5" t="n"/>
      <c r="AV46" s="5" t="n"/>
      <c r="AW46" s="5" t="n"/>
      <c r="AX46" s="5" t="n"/>
      <c r="AY46" s="5" t="n"/>
      <c r="AZ46" s="5" t="n"/>
      <c r="BA46" s="5" t="n"/>
      <c r="BB46" s="5" t="n"/>
      <c r="BC46" s="5" t="n"/>
      <c r="BD46" s="5" t="n"/>
      <c r="BE46" s="5" t="n"/>
      <c r="BF46" s="5" t="n"/>
    </row>
    <row r="47">
      <c r="A47" s="5" t="inlineStr">
        <is>
          <t>loan</t>
        </is>
      </c>
      <c r="B47" s="5">
        <f>_z1tt59-_zn0hoh</f>
        <v/>
      </c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  <c r="AC47" s="5" t="n"/>
      <c r="AD47" s="5" t="n"/>
      <c r="AE47" s="5" t="n"/>
      <c r="AF47" s="5" t="n"/>
      <c r="AG47" s="5" t="n"/>
      <c r="AH47" s="5" t="n"/>
      <c r="AI47" s="5" t="n"/>
      <c r="AJ47" s="5" t="n"/>
      <c r="AK47" s="5" t="n"/>
      <c r="AL47" s="5" t="n"/>
      <c r="AM47" s="5" t="n"/>
      <c r="AN47" s="5" t="n"/>
      <c r="AO47" s="5" t="n"/>
      <c r="AP47" s="5" t="n"/>
      <c r="AQ47" s="5" t="n"/>
      <c r="AR47" s="5" t="n"/>
      <c r="AS47" s="5" t="n"/>
      <c r="AT47" s="5" t="n"/>
      <c r="AU47" s="5" t="n"/>
      <c r="AV47" s="5" t="n"/>
      <c r="AW47" s="5" t="n"/>
      <c r="AX47" s="5" t="n"/>
      <c r="AY47" s="5" t="n"/>
      <c r="AZ47" s="5" t="n"/>
      <c r="BA47" s="5" t="n"/>
      <c r="BB47" s="5" t="n"/>
      <c r="BC47" s="5" t="n"/>
      <c r="BD47" s="5" t="n"/>
      <c r="BE47" s="5" t="n"/>
      <c r="BF47" s="5" t="n"/>
    </row>
    <row r="48">
      <c r="A48" s="5" t="inlineStr">
        <is>
          <t>loan_years_r</t>
        </is>
      </c>
      <c r="B48" s="5">
        <f>ROUND(_zx0gw6,0)</f>
        <v/>
      </c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  <c r="AC48" s="5" t="n"/>
      <c r="AD48" s="5" t="n"/>
      <c r="AE48" s="5" t="n"/>
      <c r="AF48" s="5" t="n"/>
      <c r="AG48" s="5" t="n"/>
      <c r="AH48" s="5" t="n"/>
      <c r="AI48" s="5" t="n"/>
      <c r="AJ48" s="5" t="n"/>
      <c r="AK48" s="5" t="n"/>
      <c r="AL48" s="5" t="n"/>
      <c r="AM48" s="5" t="n"/>
      <c r="AN48" s="5" t="n"/>
      <c r="AO48" s="5" t="n"/>
      <c r="AP48" s="5" t="n"/>
      <c r="AQ48" s="5" t="n"/>
      <c r="AR48" s="5" t="n"/>
      <c r="AS48" s="5" t="n"/>
      <c r="AT48" s="5" t="n"/>
      <c r="AU48" s="5" t="n"/>
      <c r="AV48" s="5" t="n"/>
      <c r="AW48" s="5" t="n"/>
      <c r="AX48" s="5" t="n"/>
      <c r="AY48" s="5" t="n"/>
      <c r="AZ48" s="5" t="n"/>
      <c r="BA48" s="5" t="n"/>
      <c r="BB48" s="5" t="n"/>
      <c r="BC48" s="5" t="n"/>
      <c r="BD48" s="5" t="n"/>
      <c r="BE48" s="5" t="n"/>
      <c r="BF48" s="5" t="n"/>
    </row>
    <row r="49">
      <c r="A49" s="5" t="inlineStr">
        <is>
          <t>pay</t>
        </is>
      </c>
      <c r="B49" s="5">
        <f>IF(_zks9j8=0,_zmqr32/_z2al7i,_zmqr32*_zks9j8/(1-(1+_zks9j8)^-_z2al7i))</f>
        <v/>
      </c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  <c r="AC49" s="5" t="n"/>
      <c r="AD49" s="5" t="n"/>
      <c r="AE49" s="5" t="n"/>
      <c r="AF49" s="5" t="n"/>
      <c r="AG49" s="5" t="n"/>
      <c r="AH49" s="5" t="n"/>
      <c r="AI49" s="5" t="n"/>
      <c r="AJ49" s="5" t="n"/>
      <c r="AK49" s="5" t="n"/>
      <c r="AL49" s="5" t="n"/>
      <c r="AM49" s="5" t="n"/>
      <c r="AN49" s="5" t="n"/>
      <c r="AO49" s="5" t="n"/>
      <c r="AP49" s="5" t="n"/>
      <c r="AQ49" s="5" t="n"/>
      <c r="AR49" s="5" t="n"/>
      <c r="AS49" s="5" t="n"/>
      <c r="AT49" s="5" t="n"/>
      <c r="AU49" s="5" t="n"/>
      <c r="AV49" s="5" t="n"/>
      <c r="AW49" s="5" t="n"/>
      <c r="AX49" s="5" t="n"/>
      <c r="AY49" s="5" t="n"/>
      <c r="AZ49" s="5" t="n"/>
      <c r="BA49" s="5" t="n"/>
      <c r="BB49" s="5" t="n"/>
      <c r="BC49" s="5" t="n"/>
      <c r="BD49" s="5" t="n"/>
      <c r="BE49" s="5" t="n"/>
      <c r="BF49" s="5" t="n"/>
    </row>
    <row r="50">
      <c r="A50" s="5" t="inlineStr">
        <is>
          <t>capex_net</t>
        </is>
      </c>
      <c r="B50" s="5">
        <f>_z1tt59*(1-_z2vg7y)</f>
        <v/>
      </c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  <c r="AC50" s="5" t="n"/>
      <c r="AD50" s="5" t="n"/>
      <c r="AE50" s="5" t="n"/>
      <c r="AF50" s="5" t="n"/>
      <c r="AG50" s="5" t="n"/>
      <c r="AH50" s="5" t="n"/>
      <c r="AI50" s="5" t="n"/>
      <c r="AJ50" s="5" t="n"/>
      <c r="AK50" s="5" t="n"/>
      <c r="AL50" s="5" t="n"/>
      <c r="AM50" s="5" t="n"/>
      <c r="AN50" s="5" t="n"/>
      <c r="AO50" s="5" t="n"/>
      <c r="AP50" s="5" t="n"/>
      <c r="AQ50" s="5" t="n"/>
      <c r="AR50" s="5" t="n"/>
      <c r="AS50" s="5" t="n"/>
      <c r="AT50" s="5" t="n"/>
      <c r="AU50" s="5" t="n"/>
      <c r="AV50" s="5" t="n"/>
      <c r="AW50" s="5" t="n"/>
      <c r="AX50" s="5" t="n"/>
      <c r="AY50" s="5" t="n"/>
      <c r="AZ50" s="5" t="n"/>
      <c r="BA50" s="5" t="n"/>
      <c r="BB50" s="5" t="n"/>
      <c r="BC50" s="5" t="n"/>
      <c r="BD50" s="5" t="n"/>
      <c r="BE50" s="5" t="n"/>
      <c r="BF50" s="5" t="n"/>
    </row>
    <row r="51">
      <c r="A51" s="5" t="inlineStr">
        <is>
          <t>vat_pool0</t>
        </is>
      </c>
      <c r="B51" s="5">
        <f>_z1tt59*_z2vg7y</f>
        <v/>
      </c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  <c r="AC51" s="5" t="n"/>
      <c r="AD51" s="5" t="n"/>
      <c r="AE51" s="5" t="n"/>
      <c r="AF51" s="5" t="n"/>
      <c r="AG51" s="5" t="n"/>
      <c r="AH51" s="5" t="n"/>
      <c r="AI51" s="5" t="n"/>
      <c r="AJ51" s="5" t="n"/>
      <c r="AK51" s="5" t="n"/>
      <c r="AL51" s="5" t="n"/>
      <c r="AM51" s="5" t="n"/>
      <c r="AN51" s="5" t="n"/>
      <c r="AO51" s="5" t="n"/>
      <c r="AP51" s="5" t="n"/>
      <c r="AQ51" s="5" t="n"/>
      <c r="AR51" s="5" t="n"/>
      <c r="AS51" s="5" t="n"/>
      <c r="AT51" s="5" t="n"/>
      <c r="AU51" s="5" t="n"/>
      <c r="AV51" s="5" t="n"/>
      <c r="AW51" s="5" t="n"/>
      <c r="AX51" s="5" t="n"/>
      <c r="AY51" s="5" t="n"/>
      <c r="AZ51" s="5" t="n"/>
      <c r="BA51" s="5" t="n"/>
      <c r="BB51" s="5" t="n"/>
      <c r="BC51" s="5" t="n"/>
      <c r="BD51" s="5" t="n"/>
      <c r="BE51" s="5" t="n"/>
      <c r="BF51" s="5" t="n"/>
    </row>
    <row r="52">
      <c r="A52" s="5" t="inlineStr">
        <is>
          <t>dep_base</t>
        </is>
      </c>
      <c r="B52" s="5">
        <f>_zbb0h1*(1-_z1sub1)</f>
        <v/>
      </c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  <c r="AC52" s="5" t="n"/>
      <c r="AD52" s="5" t="n"/>
      <c r="AE52" s="5" t="n"/>
      <c r="AF52" s="5" t="n"/>
      <c r="AG52" s="5" t="n"/>
      <c r="AH52" s="5" t="n"/>
      <c r="AI52" s="5" t="n"/>
      <c r="AJ52" s="5" t="n"/>
      <c r="AK52" s="5" t="n"/>
      <c r="AL52" s="5" t="n"/>
      <c r="AM52" s="5" t="n"/>
      <c r="AN52" s="5" t="n"/>
      <c r="AO52" s="5" t="n"/>
      <c r="AP52" s="5" t="n"/>
      <c r="AQ52" s="5" t="n"/>
      <c r="AR52" s="5" t="n"/>
      <c r="AS52" s="5" t="n"/>
      <c r="AT52" s="5" t="n"/>
      <c r="AU52" s="5" t="n"/>
      <c r="AV52" s="5" t="n"/>
      <c r="AW52" s="5" t="n"/>
      <c r="AX52" s="5" t="n"/>
      <c r="AY52" s="5" t="n"/>
      <c r="AZ52" s="5" t="n"/>
      <c r="BA52" s="5" t="n"/>
      <c r="BB52" s="5" t="n"/>
      <c r="BC52" s="5" t="n"/>
      <c r="BD52" s="5" t="n"/>
      <c r="BE52" s="5" t="n"/>
      <c r="BF52" s="5" t="n"/>
    </row>
    <row r="53">
      <c r="A53" s="5" t="inlineStr">
        <is>
          <t>dep_years_tax</t>
        </is>
      </c>
      <c r="B53" s="5">
        <f>ROUND(_zva2xn,0)</f>
        <v/>
      </c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  <c r="AC53" s="5" t="n"/>
      <c r="AD53" s="5" t="n"/>
      <c r="AE53" s="5" t="n"/>
      <c r="AF53" s="5" t="n"/>
      <c r="AG53" s="5" t="n"/>
      <c r="AH53" s="5" t="n"/>
      <c r="AI53" s="5" t="n"/>
      <c r="AJ53" s="5" t="n"/>
      <c r="AK53" s="5" t="n"/>
      <c r="AL53" s="5" t="n"/>
      <c r="AM53" s="5" t="n"/>
      <c r="AN53" s="5" t="n"/>
      <c r="AO53" s="5" t="n"/>
      <c r="AP53" s="5" t="n"/>
      <c r="AQ53" s="5" t="n"/>
      <c r="AR53" s="5" t="n"/>
      <c r="AS53" s="5" t="n"/>
      <c r="AT53" s="5" t="n"/>
      <c r="AU53" s="5" t="n"/>
      <c r="AV53" s="5" t="n"/>
      <c r="AW53" s="5" t="n"/>
      <c r="AX53" s="5" t="n"/>
      <c r="AY53" s="5" t="n"/>
      <c r="AZ53" s="5" t="n"/>
      <c r="BA53" s="5" t="n"/>
      <c r="BB53" s="5" t="n"/>
      <c r="BC53" s="5" t="n"/>
      <c r="BD53" s="5" t="n"/>
      <c r="BE53" s="5" t="n"/>
      <c r="BF53" s="5" t="n"/>
    </row>
    <row r="54">
      <c r="A54" s="5" t="inlineStr">
        <is>
          <t>dep_years_eff</t>
        </is>
      </c>
      <c r="B54" s="5">
        <f>MIN(_zk7d33,_zx5hja)</f>
        <v/>
      </c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  <c r="AC54" s="5" t="n"/>
      <c r="AD54" s="5" t="n"/>
      <c r="AE54" s="5" t="n"/>
      <c r="AF54" s="5" t="n"/>
      <c r="AG54" s="5" t="n"/>
      <c r="AH54" s="5" t="n"/>
      <c r="AI54" s="5" t="n"/>
      <c r="AJ54" s="5" t="n"/>
      <c r="AK54" s="5" t="n"/>
      <c r="AL54" s="5" t="n"/>
      <c r="AM54" s="5" t="n"/>
      <c r="AN54" s="5" t="n"/>
      <c r="AO54" s="5" t="n"/>
      <c r="AP54" s="5" t="n"/>
      <c r="AQ54" s="5" t="n"/>
      <c r="AR54" s="5" t="n"/>
      <c r="AS54" s="5" t="n"/>
      <c r="AT54" s="5" t="n"/>
      <c r="AU54" s="5" t="n"/>
      <c r="AV54" s="5" t="n"/>
      <c r="AW54" s="5" t="n"/>
      <c r="AX54" s="5" t="n"/>
      <c r="AY54" s="5" t="n"/>
      <c r="AZ54" s="5" t="n"/>
      <c r="BA54" s="5" t="n"/>
      <c r="BB54" s="5" t="n"/>
      <c r="BC54" s="5" t="n"/>
      <c r="BD54" s="5" t="n"/>
      <c r="BE54" s="5" t="n"/>
      <c r="BF54" s="5" t="n"/>
    </row>
    <row r="55">
      <c r="A55" s="5" t="inlineStr">
        <is>
          <t>dep_annual</t>
        </is>
      </c>
      <c r="B55" s="5">
        <f>_zxo0o2/_zk7d33</f>
        <v/>
      </c>
      <c r="C55" s="5" t="n"/>
      <c r="D55" s="5" t="n"/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  <c r="AC55" s="5" t="n"/>
      <c r="AD55" s="5" t="n"/>
      <c r="AE55" s="5" t="n"/>
      <c r="AF55" s="5" t="n"/>
      <c r="AG55" s="5" t="n"/>
      <c r="AH55" s="5" t="n"/>
      <c r="AI55" s="5" t="n"/>
      <c r="AJ55" s="5" t="n"/>
      <c r="AK55" s="5" t="n"/>
      <c r="AL55" s="5" t="n"/>
      <c r="AM55" s="5" t="n"/>
      <c r="AN55" s="5" t="n"/>
      <c r="AO55" s="5" t="n"/>
      <c r="AP55" s="5" t="n"/>
      <c r="AQ55" s="5" t="n"/>
      <c r="AR55" s="5" t="n"/>
      <c r="AS55" s="5" t="n"/>
      <c r="AT55" s="5" t="n"/>
      <c r="AU55" s="5" t="n"/>
      <c r="AV55" s="5" t="n"/>
      <c r="AW55" s="5" t="n"/>
      <c r="AX55" s="5" t="n"/>
      <c r="AY55" s="5" t="n"/>
      <c r="AZ55" s="5" t="n"/>
      <c r="BA55" s="5" t="n"/>
      <c r="BB55" s="5" t="n"/>
      <c r="BC55" s="5" t="n"/>
      <c r="BD55" s="5" t="n"/>
      <c r="BE55" s="5" t="n"/>
      <c r="BF55" s="5" t="n"/>
    </row>
    <row r="56">
      <c r="A56" s="5" t="inlineStr">
        <is>
          <t>opex</t>
        </is>
      </c>
      <c r="B56" s="5">
        <f>_z1tt59*(_zfbc18+_zlghw4)</f>
        <v/>
      </c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  <c r="AC56" s="5" t="n"/>
      <c r="AD56" s="5" t="n"/>
      <c r="AE56" s="5" t="n"/>
      <c r="AF56" s="5" t="n"/>
      <c r="AG56" s="5" t="n"/>
      <c r="AH56" s="5" t="n"/>
      <c r="AI56" s="5" t="n"/>
      <c r="AJ56" s="5" t="n"/>
      <c r="AK56" s="5" t="n"/>
      <c r="AL56" s="5" t="n"/>
      <c r="AM56" s="5" t="n"/>
      <c r="AN56" s="5" t="n"/>
      <c r="AO56" s="5" t="n"/>
      <c r="AP56" s="5" t="n"/>
      <c r="AQ56" s="5" t="n"/>
      <c r="AR56" s="5" t="n"/>
      <c r="AS56" s="5" t="n"/>
      <c r="AT56" s="5" t="n"/>
      <c r="AU56" s="5" t="n"/>
      <c r="AV56" s="5" t="n"/>
      <c r="AW56" s="5" t="n"/>
      <c r="AX56" s="5" t="n"/>
      <c r="AY56" s="5" t="n"/>
      <c r="AZ56" s="5" t="n"/>
      <c r="BA56" s="5" t="n"/>
      <c r="BB56" s="5" t="n"/>
      <c r="BC56" s="5" t="n"/>
      <c r="BD56" s="5" t="n"/>
      <c r="BE56" s="5" t="n"/>
      <c r="BF56" s="5" t="n"/>
    </row>
    <row r="57">
      <c r="A57" s="5" t="inlineStr">
        <is>
          <t>salvage_value</t>
        </is>
      </c>
      <c r="B57" s="5">
        <f>_zbb0h1*_z1sub1</f>
        <v/>
      </c>
      <c r="C57" s="5" t="n"/>
      <c r="D57" s="5" t="n"/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  <c r="AC57" s="5" t="n"/>
      <c r="AD57" s="5" t="n"/>
      <c r="AE57" s="5" t="n"/>
      <c r="AF57" s="5" t="n"/>
      <c r="AG57" s="5" t="n"/>
      <c r="AH57" s="5" t="n"/>
      <c r="AI57" s="5" t="n"/>
      <c r="AJ57" s="5" t="n"/>
      <c r="AK57" s="5" t="n"/>
      <c r="AL57" s="5" t="n"/>
      <c r="AM57" s="5" t="n"/>
      <c r="AN57" s="5" t="n"/>
      <c r="AO57" s="5" t="n"/>
      <c r="AP57" s="5" t="n"/>
      <c r="AQ57" s="5" t="n"/>
      <c r="AR57" s="5" t="n"/>
      <c r="AS57" s="5" t="n"/>
      <c r="AT57" s="5" t="n"/>
      <c r="AU57" s="5" t="n"/>
      <c r="AV57" s="5" t="n"/>
      <c r="AW57" s="5" t="n"/>
      <c r="AX57" s="5" t="n"/>
      <c r="AY57" s="5" t="n"/>
      <c r="AZ57" s="5" t="n"/>
      <c r="BA57" s="5" t="n"/>
      <c r="BB57" s="5" t="n"/>
      <c r="BC57" s="5" t="n"/>
      <c r="BD57" s="5" t="n"/>
      <c r="BE57" s="5" t="n"/>
      <c r="BF57" s="5" t="n"/>
    </row>
    <row r="58">
      <c r="A58" s="5" t="inlineStr">
        <is>
          <t>terminal_value</t>
        </is>
      </c>
      <c r="B58" s="5">
        <f>_z4gfqk+_zxo0o2*MAX(0,_zk7d33-_zx5hja)/_zk7d33</f>
        <v/>
      </c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  <c r="AC58" s="5" t="n"/>
      <c r="AD58" s="5" t="n"/>
      <c r="AE58" s="5" t="n"/>
      <c r="AF58" s="5" t="n"/>
      <c r="AG58" s="5" t="n"/>
      <c r="AH58" s="5" t="n"/>
      <c r="AI58" s="5" t="n"/>
      <c r="AJ58" s="5" t="n"/>
      <c r="AK58" s="5" t="n"/>
      <c r="AL58" s="5" t="n"/>
      <c r="AM58" s="5" t="n"/>
      <c r="AN58" s="5" t="n"/>
      <c r="AO58" s="5" t="n"/>
      <c r="AP58" s="5" t="n"/>
      <c r="AQ58" s="5" t="n"/>
      <c r="AR58" s="5" t="n"/>
      <c r="AS58" s="5" t="n"/>
      <c r="AT58" s="5" t="n"/>
      <c r="AU58" s="5" t="n"/>
      <c r="AV58" s="5" t="n"/>
      <c r="AW58" s="5" t="n"/>
      <c r="AX58" s="5" t="n"/>
      <c r="AY58" s="5" t="n"/>
      <c r="AZ58" s="5" t="n"/>
      <c r="BA58" s="5" t="n"/>
      <c r="BB58" s="5" t="n"/>
      <c r="BC58" s="5" t="n"/>
      <c r="BD58" s="5" t="n"/>
      <c r="BE58" s="5" t="n"/>
      <c r="BF58" s="5" t="n"/>
    </row>
    <row r="59">
      <c r="A59" s="5" t="inlineStr">
        <is>
          <t>replace_year_r</t>
        </is>
      </c>
      <c r="B59" s="5">
        <f>ROUND(_z75lzf,0)</f>
        <v/>
      </c>
      <c r="C59" s="5" t="n"/>
      <c r="D59" s="5" t="n"/>
      <c r="E59" s="5" t="n"/>
      <c r="F59" s="5" t="n"/>
      <c r="G59" s="5" t="n"/>
      <c r="H59" s="5" t="n"/>
      <c r="I59" s="5" t="n"/>
      <c r="J59" s="5" t="n"/>
      <c r="K59" s="5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  <c r="AC59" s="5" t="n"/>
      <c r="AD59" s="5" t="n"/>
      <c r="AE59" s="5" t="n"/>
      <c r="AF59" s="5" t="n"/>
      <c r="AG59" s="5" t="n"/>
      <c r="AH59" s="5" t="n"/>
      <c r="AI59" s="5" t="n"/>
      <c r="AJ59" s="5" t="n"/>
      <c r="AK59" s="5" t="n"/>
      <c r="AL59" s="5" t="n"/>
      <c r="AM59" s="5" t="n"/>
      <c r="AN59" s="5" t="n"/>
      <c r="AO59" s="5" t="n"/>
      <c r="AP59" s="5" t="n"/>
      <c r="AQ59" s="5" t="n"/>
      <c r="AR59" s="5" t="n"/>
      <c r="AS59" s="5" t="n"/>
      <c r="AT59" s="5" t="n"/>
      <c r="AU59" s="5" t="n"/>
      <c r="AV59" s="5" t="n"/>
      <c r="AW59" s="5" t="n"/>
      <c r="AX59" s="5" t="n"/>
      <c r="AY59" s="5" t="n"/>
      <c r="AZ59" s="5" t="n"/>
      <c r="BA59" s="5" t="n"/>
      <c r="BB59" s="5" t="n"/>
      <c r="BC59" s="5" t="n"/>
      <c r="BD59" s="5" t="n"/>
      <c r="BE59" s="5" t="n"/>
      <c r="BF59" s="5" t="n"/>
    </row>
    <row r="60">
      <c r="A60" s="5" t="inlineStr">
        <is>
          <t>benefit_flat</t>
        </is>
      </c>
      <c r="B60" s="5">
        <f>_zriby8+_zbpwff+_ziv1gc+_zz1w2z</f>
        <v/>
      </c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  <c r="AC60" s="5" t="n"/>
      <c r="AD60" s="5" t="n"/>
      <c r="AE60" s="5" t="n"/>
      <c r="AF60" s="5" t="n"/>
      <c r="AG60" s="5" t="n"/>
      <c r="AH60" s="5" t="n"/>
      <c r="AI60" s="5" t="n"/>
      <c r="AJ60" s="5" t="n"/>
      <c r="AK60" s="5" t="n"/>
      <c r="AL60" s="5" t="n"/>
      <c r="AM60" s="5" t="n"/>
      <c r="AN60" s="5" t="n"/>
      <c r="AO60" s="5" t="n"/>
      <c r="AP60" s="5" t="n"/>
      <c r="AQ60" s="5" t="n"/>
      <c r="AR60" s="5" t="n"/>
      <c r="AS60" s="5" t="n"/>
      <c r="AT60" s="5" t="n"/>
      <c r="AU60" s="5" t="n"/>
      <c r="AV60" s="5" t="n"/>
      <c r="AW60" s="5" t="n"/>
      <c r="AX60" s="5" t="n"/>
      <c r="AY60" s="5" t="n"/>
      <c r="AZ60" s="5" t="n"/>
      <c r="BA60" s="5" t="n"/>
      <c r="BB60" s="5" t="n"/>
      <c r="BC60" s="5" t="n"/>
      <c r="BD60" s="5" t="n"/>
      <c r="BE60" s="5" t="n"/>
      <c r="BF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5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  <c r="AC61" s="5" t="n"/>
      <c r="AD61" s="5" t="n"/>
      <c r="AE61" s="5" t="n"/>
      <c r="AF61" s="5" t="n"/>
      <c r="AG61" s="5" t="n"/>
      <c r="AH61" s="5" t="n"/>
      <c r="AI61" s="5" t="n"/>
      <c r="AJ61" s="5" t="n"/>
      <c r="AK61" s="5" t="n"/>
      <c r="AL61" s="5" t="n"/>
      <c r="AM61" s="5" t="n"/>
      <c r="AN61" s="5" t="n"/>
      <c r="AO61" s="5" t="n"/>
      <c r="AP61" s="5" t="n"/>
      <c r="AQ61" s="5" t="n"/>
      <c r="AR61" s="5" t="n"/>
      <c r="AS61" s="5" t="n"/>
      <c r="AT61" s="5" t="n"/>
      <c r="AU61" s="5" t="n"/>
      <c r="AV61" s="5" t="n"/>
      <c r="AW61" s="5" t="n"/>
      <c r="AX61" s="5" t="n"/>
      <c r="AY61" s="5" t="n"/>
      <c r="AZ61" s="5" t="n"/>
      <c r="BA61" s="5" t="n"/>
      <c r="BB61" s="5" t="n"/>
      <c r="BC61" s="5" t="n"/>
      <c r="BD61" s="5" t="n"/>
      <c r="BE61" s="5" t="n"/>
      <c r="BF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  <c r="AC62" s="5" t="n"/>
      <c r="AD62" s="5" t="n"/>
      <c r="AE62" s="5" t="n"/>
      <c r="AF62" s="5" t="n"/>
      <c r="AG62" s="5" t="n"/>
      <c r="AH62" s="5" t="n"/>
      <c r="AI62" s="5" t="n"/>
      <c r="AJ62" s="5" t="n"/>
      <c r="AK62" s="5" t="n"/>
      <c r="AL62" s="5" t="n"/>
      <c r="AM62" s="5" t="n"/>
      <c r="AN62" s="5" t="n"/>
      <c r="AO62" s="5" t="n"/>
      <c r="AP62" s="5" t="n"/>
      <c r="AQ62" s="5" t="n"/>
      <c r="AR62" s="5" t="n"/>
      <c r="AS62" s="5" t="n"/>
      <c r="AT62" s="5" t="n"/>
      <c r="AU62" s="5" t="n"/>
      <c r="AV62" s="5" t="n"/>
      <c r="AW62" s="5" t="n"/>
      <c r="AX62" s="5" t="n"/>
      <c r="AY62" s="5" t="n"/>
      <c r="AZ62" s="5" t="n"/>
      <c r="BA62" s="5" t="n"/>
      <c r="BB62" s="5" t="n"/>
      <c r="BC62" s="5" t="n"/>
      <c r="BD62" s="5" t="n"/>
      <c r="BE62" s="5" t="n"/>
      <c r="BF62" s="5" t="n"/>
    </row>
    <row r="63">
      <c r="A63" s="5" t="inlineStr">
        <is>
          <t>年份</t>
        </is>
      </c>
      <c r="B63" s="5" t="inlineStr">
        <is>
          <t>运营期内</t>
        </is>
      </c>
      <c r="C63" s="5" t="inlineStr">
        <is>
          <t>衰减系数</t>
        </is>
      </c>
      <c r="D63" s="5" t="inlineStr">
        <is>
          <t>衰减性收益</t>
        </is>
      </c>
      <c r="E63" s="5" t="inlineStr">
        <is>
          <t>毛收益</t>
        </is>
      </c>
      <c r="F63" s="5" t="inlineStr">
        <is>
          <t>更换支出</t>
        </is>
      </c>
      <c r="G63" s="5" t="inlineStr">
        <is>
          <t>更换进项税</t>
        </is>
      </c>
      <c r="H63" s="5" t="inlineStr">
        <is>
          <t>应税收入含税</t>
        </is>
      </c>
      <c r="I63" s="5" t="inlineStr">
        <is>
          <t>应税收入不含税</t>
        </is>
      </c>
      <c r="J63" s="5" t="inlineStr">
        <is>
          <t>销项税</t>
        </is>
      </c>
      <c r="K63" s="5" t="inlineStr">
        <is>
          <t>进项池期初</t>
        </is>
      </c>
      <c r="L63" s="5" t="inlineStr">
        <is>
          <t>实缴增值税</t>
        </is>
      </c>
      <c r="M63" s="5" t="inlineStr">
        <is>
          <t>进项池期末</t>
        </is>
      </c>
      <c r="N63" s="5" t="inlineStr">
        <is>
          <t>附加税费</t>
        </is>
      </c>
      <c r="O63" s="5" t="inlineStr">
        <is>
          <t>净收益不含税口径</t>
        </is>
      </c>
      <c r="P63" s="5" t="inlineStr">
        <is>
          <t>期初贷款余额</t>
        </is>
      </c>
      <c r="Q63" s="5" t="inlineStr">
        <is>
          <t>利息</t>
        </is>
      </c>
      <c r="R63" s="5" t="inlineStr">
        <is>
          <t>还本付息</t>
        </is>
      </c>
      <c r="S63" s="5" t="inlineStr">
        <is>
          <t>还本</t>
        </is>
      </c>
      <c r="T63" s="5" t="inlineStr">
        <is>
          <t>期末贷款余额</t>
        </is>
      </c>
      <c r="U63" s="5" t="inlineStr">
        <is>
          <t>折旧</t>
        </is>
      </c>
      <c r="V63" s="5" t="inlineStr">
        <is>
          <t>免减系数</t>
        </is>
      </c>
      <c r="W63" s="5" t="inlineStr">
        <is>
          <t>有效税率系数</t>
        </is>
      </c>
      <c r="X63" s="5" t="inlineStr">
        <is>
          <t>EBT全投资</t>
        </is>
      </c>
      <c r="Y63" s="5" t="inlineStr">
        <is>
          <t>亏损池A·1年</t>
        </is>
      </c>
      <c r="Z63" s="5" t="inlineStr">
        <is>
          <t>亏损池A·2年</t>
        </is>
      </c>
      <c r="AA63" s="5" t="inlineStr">
        <is>
          <t>亏损池A·3年</t>
        </is>
      </c>
      <c r="AB63" s="5" t="inlineStr">
        <is>
          <t>亏损池A·4年</t>
        </is>
      </c>
      <c r="AC63" s="5" t="inlineStr">
        <is>
          <t>亏损池A·5年</t>
        </is>
      </c>
      <c r="AD63" s="5" t="inlineStr">
        <is>
          <t>亏损池A·当年弥补</t>
        </is>
      </c>
      <c r="AE63" s="5" t="inlineStr">
        <is>
          <t>应税所得·全投资</t>
        </is>
      </c>
      <c r="AF63" s="5" t="inlineStr">
        <is>
          <t>所得税·全投资</t>
        </is>
      </c>
      <c r="AG63" s="5" t="inlineStr">
        <is>
          <t>EBT资本金</t>
        </is>
      </c>
      <c r="AH63" s="5" t="inlineStr">
        <is>
          <t>亏损池E·1年</t>
        </is>
      </c>
      <c r="AI63" s="5" t="inlineStr">
        <is>
          <t>亏损池E·2年</t>
        </is>
      </c>
      <c r="AJ63" s="5" t="inlineStr">
        <is>
          <t>亏损池E·3年</t>
        </is>
      </c>
      <c r="AK63" s="5" t="inlineStr">
        <is>
          <t>亏损池E·4年</t>
        </is>
      </c>
      <c r="AL63" s="5" t="inlineStr">
        <is>
          <t>亏损池E·5年</t>
        </is>
      </c>
      <c r="AM63" s="5" t="inlineStr">
        <is>
          <t>亏损池E·当年弥补</t>
        </is>
      </c>
      <c r="AN63" s="5" t="inlineStr">
        <is>
          <t>应税所得·资本金</t>
        </is>
      </c>
      <c r="AO63" s="5" t="inlineStr">
        <is>
          <t>所得税·资本金</t>
        </is>
      </c>
      <c r="AP63" s="5" t="inlineStr">
        <is>
          <t>期末回收</t>
        </is>
      </c>
      <c r="AQ63" s="5" t="inlineStr">
        <is>
          <t>税前全投资净现金流</t>
        </is>
      </c>
      <c r="AR63" s="5" t="inlineStr">
        <is>
          <t>税后全投资净现金流</t>
        </is>
      </c>
      <c r="AS63" s="5" t="inlineStr">
        <is>
          <t>资本金净现金流</t>
        </is>
      </c>
      <c r="AT63" s="5" t="inlineStr">
        <is>
          <t>累计税后</t>
        </is>
      </c>
      <c r="AU63" s="5" t="inlineStr">
        <is>
          <t>转正标志</t>
        </is>
      </c>
      <c r="AV63" s="5" t="inlineStr">
        <is>
          <t>折现税后</t>
        </is>
      </c>
      <c r="AW63" s="5" t="inlineStr">
        <is>
          <t>累计折现</t>
        </is>
      </c>
      <c r="AX63" s="5" t="inlineStr">
        <is>
          <t>转正标志动态</t>
        </is>
      </c>
      <c r="AY63" s="5" t="inlineStr">
        <is>
          <t>自产电量衰减后</t>
        </is>
      </c>
      <c r="AZ63" s="5" t="inlineStr">
        <is>
          <t>LCOE年成本</t>
        </is>
      </c>
      <c r="BA63" s="5" t="inlineStr">
        <is>
          <t>符号跟踪·税前</t>
        </is>
      </c>
      <c r="BB63" s="5" t="inlineStr">
        <is>
          <t>变号计数·税前</t>
        </is>
      </c>
      <c r="BC63" s="5" t="inlineStr">
        <is>
          <t>符号跟踪·税后</t>
        </is>
      </c>
      <c r="BD63" s="5" t="inlineStr">
        <is>
          <t>变号计数·税后</t>
        </is>
      </c>
      <c r="BE63" s="5" t="inlineStr">
        <is>
          <t>符号跟踪·资本金</t>
        </is>
      </c>
      <c r="BF63" s="5" t="inlineStr">
        <is>
          <t>变号计数·资本金</t>
        </is>
      </c>
    </row>
    <row r="64">
      <c r="A64" s="5" t="n">
        <v>0</v>
      </c>
      <c r="B64" s="5">
        <f>FALSE</f>
        <v/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  <c r="I64" s="5" t="n">
        <v>0</v>
      </c>
      <c r="J64" s="5" t="n">
        <v>0</v>
      </c>
      <c r="K64" s="5" t="n">
        <v>0</v>
      </c>
      <c r="L64" s="5" t="n">
        <v>0</v>
      </c>
      <c r="M64" s="5">
        <f>_zh2s1v</f>
        <v/>
      </c>
      <c r="N64" s="5" t="n">
        <v>0</v>
      </c>
      <c r="O64" s="5" t="n">
        <v>0</v>
      </c>
      <c r="P64" s="5" t="n">
        <v>0</v>
      </c>
      <c r="Q64" s="5" t="n">
        <v>0</v>
      </c>
      <c r="R64" s="5" t="n">
        <v>0</v>
      </c>
      <c r="S64" s="5" t="n">
        <v>0</v>
      </c>
      <c r="T64" s="5">
        <f>_zmqr32</f>
        <v/>
      </c>
      <c r="U64" s="5" t="n">
        <v>0</v>
      </c>
      <c r="V64" s="5" t="n">
        <v>0</v>
      </c>
      <c r="W64" s="5" t="n">
        <v>0</v>
      </c>
      <c r="X64" s="5" t="n">
        <v>0</v>
      </c>
      <c r="Y64" s="5" t="n">
        <v>0</v>
      </c>
      <c r="Z64" s="5" t="n">
        <v>0</v>
      </c>
      <c r="AA64" s="5" t="n">
        <v>0</v>
      </c>
      <c r="AB64" s="5" t="n">
        <v>0</v>
      </c>
      <c r="AC64" s="5" t="n">
        <v>0</v>
      </c>
      <c r="AD64" s="5" t="n">
        <v>0</v>
      </c>
      <c r="AE64" s="5" t="n">
        <v>0</v>
      </c>
      <c r="AF64" s="5" t="n">
        <v>0</v>
      </c>
      <c r="AG64" s="5" t="n">
        <v>0</v>
      </c>
      <c r="AH64" s="5" t="n">
        <v>0</v>
      </c>
      <c r="AI64" s="5" t="n">
        <v>0</v>
      </c>
      <c r="AJ64" s="5" t="n">
        <v>0</v>
      </c>
      <c r="AK64" s="5" t="n">
        <v>0</v>
      </c>
      <c r="AL64" s="5" t="n">
        <v>0</v>
      </c>
      <c r="AM64" s="5" t="n">
        <v>0</v>
      </c>
      <c r="AN64" s="5" t="n">
        <v>0</v>
      </c>
      <c r="AO64" s="5" t="n">
        <v>0</v>
      </c>
      <c r="AP64" s="5" t="n">
        <v>0</v>
      </c>
      <c r="AQ64" s="5">
        <f>-_z1tt59</f>
        <v/>
      </c>
      <c r="AR64" s="5">
        <f>-_z1tt59</f>
        <v/>
      </c>
      <c r="AS64" s="5">
        <f>-_zn0hoh</f>
        <v/>
      </c>
      <c r="AT64" s="5">
        <f>AR64</f>
        <v/>
      </c>
      <c r="AU64" s="5" t="n">
        <v>0</v>
      </c>
      <c r="AV64" s="5">
        <f>AR64</f>
        <v/>
      </c>
      <c r="AW64" s="5">
        <f>AV64</f>
        <v/>
      </c>
      <c r="AX64" s="5" t="n">
        <v>0</v>
      </c>
      <c r="AY64" s="5" t="n">
        <v>0</v>
      </c>
      <c r="AZ64" s="5" t="n">
        <v>0</v>
      </c>
      <c r="BA64" s="5">
        <f>SIGN(AQ64)</f>
        <v/>
      </c>
      <c r="BB64" s="5" t="n">
        <v>0</v>
      </c>
      <c r="BC64" s="5">
        <f>SIGN(AR64)</f>
        <v/>
      </c>
      <c r="BD64" s="5" t="n">
        <v>0</v>
      </c>
      <c r="BE64" s="5">
        <f>SIGN(AS64)</f>
        <v/>
      </c>
      <c r="BF64" s="5" t="n">
        <v>0</v>
      </c>
    </row>
    <row r="65">
      <c r="A65" s="5" t="n">
        <v>1</v>
      </c>
      <c r="B65" s="5">
        <f>AND(A65&gt;=1,A65&lt;=_zx5hja)</f>
        <v/>
      </c>
      <c r="C65" s="5">
        <f>IF(B65,(1-_zecdlb)^(A65-1),0)</f>
        <v/>
      </c>
      <c r="D65" s="5">
        <f>(_zgk3lw+_z7m6d8)*C65</f>
        <v/>
      </c>
      <c r="E65" s="5">
        <f>IF(B65,D65+_zmztd5-_zdd3mz-_z2y4dt,0)</f>
        <v/>
      </c>
      <c r="F65" s="5">
        <f>IF(AND(B65,A65=_ztfkfy),_z4p8is*_zh30bl,0)</f>
        <v/>
      </c>
      <c r="G65" s="5">
        <f>F65*0.13/(1+0.13)</f>
        <v/>
      </c>
      <c r="H65" s="5">
        <f>IF(B65,_z7m6d8*C65+_zz1w2z,0)</f>
        <v/>
      </c>
      <c r="I65" s="5">
        <f>H65/(1+0.13)</f>
        <v/>
      </c>
      <c r="J65" s="5">
        <f>H65-I65</f>
        <v/>
      </c>
      <c r="K65" s="5">
        <f>M64+G65</f>
        <v/>
      </c>
      <c r="L65" s="5">
        <f>MAX(0,J65-K65)</f>
        <v/>
      </c>
      <c r="M65" s="5">
        <f>MAX(0,K65-J65)</f>
        <v/>
      </c>
      <c r="N65" s="5">
        <f>L65*0.12</f>
        <v/>
      </c>
      <c r="O65" s="5">
        <f>E65-J65</f>
        <v/>
      </c>
      <c r="P65" s="5">
        <f>T64</f>
        <v/>
      </c>
      <c r="Q65" s="5">
        <f>IF(AND(B65,A65&lt;=_z2al7i),P65*_zks9j8,0)</f>
        <v/>
      </c>
      <c r="R65" s="5">
        <f>IF(AND(B65,A65&lt;=_z2al7i),_zgsfrl,0)</f>
        <v/>
      </c>
      <c r="S65" s="5">
        <f>R65-Q65</f>
        <v/>
      </c>
      <c r="T65" s="5">
        <f>MAX(0,P65-S65)</f>
        <v/>
      </c>
      <c r="U65" s="5">
        <f>IF(AND(B65,A65&lt;=_zupe8l),_z0jo6h,0)</f>
        <v/>
      </c>
      <c r="V65" s="5">
        <f>IF((_zlt415="是"),IF(A65&lt;=3,0,IF(A65&lt;=6,0.5,1)),1)</f>
        <v/>
      </c>
      <c r="W65" s="5">
        <f>_zrzkf6*V65+(1-_zrzkf6)</f>
        <v/>
      </c>
      <c r="X65" s="5">
        <f>IF(B65,O65-_zkfhzg-N65-U65-F65,0)</f>
        <v/>
      </c>
      <c r="Y65" s="5">
        <f>MAX(0,-X64)</f>
        <v/>
      </c>
      <c r="Z65" s="5">
        <f>MIN(Y64,MAX(0,(AC64+AB64+AA64+Z64+Y64)-AD64))</f>
        <v/>
      </c>
      <c r="AA65" s="5">
        <f>MIN(Z64,MAX(0,(AC64+AB64+AA64+Z64)-AD64))</f>
        <v/>
      </c>
      <c r="AB65" s="5">
        <f>MIN(AA64,MAX(0,(AC64+AB64+AA64)-AD64))</f>
        <v/>
      </c>
      <c r="AC65" s="5">
        <f>MIN(AB64,MAX(0,(AC64+AB64)-AD64))</f>
        <v/>
      </c>
      <c r="AD65" s="5">
        <f>MIN(MAX(X65,0),Y65+Z65+AA65+AB65+AC65)</f>
        <v/>
      </c>
      <c r="AE65" s="5">
        <f>MAX(X65,0)-AD65</f>
        <v/>
      </c>
      <c r="AF65" s="5">
        <f>AE65*_zk03a3*W65</f>
        <v/>
      </c>
      <c r="AG65" s="5">
        <f>IF(B65,X65-Q65,0)</f>
        <v/>
      </c>
      <c r="AH65" s="5">
        <f>MAX(0,-AG64)</f>
        <v/>
      </c>
      <c r="AI65" s="5">
        <f>MIN(AH64,MAX(0,(AL64+AK64+AJ64+AI64+AH64)-AM64))</f>
        <v/>
      </c>
      <c r="AJ65" s="5">
        <f>MIN(AI64,MAX(0,(AL64+AK64+AJ64+AI64)-AM64))</f>
        <v/>
      </c>
      <c r="AK65" s="5">
        <f>MIN(AJ64,MAX(0,(AL64+AK64+AJ64)-AM64))</f>
        <v/>
      </c>
      <c r="AL65" s="5">
        <f>MIN(AK64,MAX(0,(AL64+AK64)-AM64))</f>
        <v/>
      </c>
      <c r="AM65" s="5">
        <f>MIN(MAX(AG65,0),AH65+AI65+AJ65+AK65+AL65)</f>
        <v/>
      </c>
      <c r="AN65" s="5">
        <f>MAX(AG65,0)-AM65</f>
        <v/>
      </c>
      <c r="AO65" s="5">
        <f>AN65*_zk03a3*W65</f>
        <v/>
      </c>
      <c r="AP65" s="5">
        <f>IF(A65=_zx5hja,_zk1wd3,0)</f>
        <v/>
      </c>
      <c r="AQ65" s="5">
        <f>IF(B65,E65-_zkfhzg-L65-N65-F65+AP65,0)</f>
        <v/>
      </c>
      <c r="AR65" s="5">
        <f>AQ65-AF65</f>
        <v/>
      </c>
      <c r="AS65" s="5">
        <f>IF(B65,E65-_zkfhzg-L65-N65-F65-R65-AO65+AP65-IF(AND(A65=_zx5hja,_z2al7i&gt;_zx5hja),T65,0),0)</f>
        <v/>
      </c>
      <c r="AT65" s="5">
        <f>AT64+AR65</f>
        <v/>
      </c>
      <c r="AU65" s="5">
        <f>IF(AND(AT64&lt;0,AT65&gt;=0,AR65&gt;0),1,0)</f>
        <v/>
      </c>
      <c r="AV65" s="5">
        <f>AR65/(1+_z1ltt4)^A65</f>
        <v/>
      </c>
      <c r="AW65" s="5">
        <f>AW64+AV65</f>
        <v/>
      </c>
      <c r="AX65" s="5">
        <f>IF(AND(AW64&lt;0,AW65&gt;=0,AV65&gt;0),1,0)</f>
        <v/>
      </c>
      <c r="AY65" s="5">
        <f>(_z39asj+_zy2ig8)*C65</f>
        <v/>
      </c>
      <c r="AZ65" s="5">
        <f>IF(B65,_zkfhzg+_zdd3mz+_z2y4dt+F65-AP65,0)</f>
        <v/>
      </c>
      <c r="BA65" s="5">
        <f>IF(AQ65=0,BA64,SIGN(AQ65))</f>
        <v/>
      </c>
      <c r="BB65" s="5">
        <f>BB64+IF(OR(AQ65=0,BA64=0),0,IF(SIGN(AQ65)&lt;&gt;BA64,1,0))</f>
        <v/>
      </c>
      <c r="BC65" s="5">
        <f>IF(AR65=0,BC64,SIGN(AR65))</f>
        <v/>
      </c>
      <c r="BD65" s="5">
        <f>BD64+IF(OR(AR65=0,BC64=0),0,IF(SIGN(AR65)&lt;&gt;BC64,1,0))</f>
        <v/>
      </c>
      <c r="BE65" s="5">
        <f>IF(AS65=0,BE64,SIGN(AS65))</f>
        <v/>
      </c>
      <c r="BF65" s="5">
        <f>BF64+IF(OR(AS65=0,BE64=0),0,IF(SIGN(AS65)&lt;&gt;BE64,1,0))</f>
        <v/>
      </c>
    </row>
    <row r="66">
      <c r="A66" s="5" t="n">
        <v>2</v>
      </c>
      <c r="B66" s="5">
        <f>AND(A66&gt;=1,A66&lt;=_zx5hja)</f>
        <v/>
      </c>
      <c r="C66" s="5">
        <f>IF(B66,(1-_zecdlb)^(A66-1),0)</f>
        <v/>
      </c>
      <c r="D66" s="5">
        <f>(_zgk3lw+_z7m6d8)*C66</f>
        <v/>
      </c>
      <c r="E66" s="5">
        <f>IF(B66,D66+_zmztd5-_zdd3mz-_z2y4dt,0)</f>
        <v/>
      </c>
      <c r="F66" s="5">
        <f>IF(AND(B66,A66=_ztfkfy),_z4p8is*_zh30bl,0)</f>
        <v/>
      </c>
      <c r="G66" s="5">
        <f>F66*0.13/(1+0.13)</f>
        <v/>
      </c>
      <c r="H66" s="5">
        <f>IF(B66,_z7m6d8*C66+_zz1w2z,0)</f>
        <v/>
      </c>
      <c r="I66" s="5">
        <f>H66/(1+0.13)</f>
        <v/>
      </c>
      <c r="J66" s="5">
        <f>H66-I66</f>
        <v/>
      </c>
      <c r="K66" s="5">
        <f>M65+G66</f>
        <v/>
      </c>
      <c r="L66" s="5">
        <f>MAX(0,J66-K66)</f>
        <v/>
      </c>
      <c r="M66" s="5">
        <f>MAX(0,K66-J66)</f>
        <v/>
      </c>
      <c r="N66" s="5">
        <f>L66*0.12</f>
        <v/>
      </c>
      <c r="O66" s="5">
        <f>E66-J66</f>
        <v/>
      </c>
      <c r="P66" s="5">
        <f>T65</f>
        <v/>
      </c>
      <c r="Q66" s="5">
        <f>IF(AND(B66,A66&lt;=_z2al7i),P66*_zks9j8,0)</f>
        <v/>
      </c>
      <c r="R66" s="5">
        <f>IF(AND(B66,A66&lt;=_z2al7i),_zgsfrl,0)</f>
        <v/>
      </c>
      <c r="S66" s="5">
        <f>R66-Q66</f>
        <v/>
      </c>
      <c r="T66" s="5">
        <f>MAX(0,P66-S66)</f>
        <v/>
      </c>
      <c r="U66" s="5">
        <f>IF(AND(B66,A66&lt;=_zupe8l),_z0jo6h,0)</f>
        <v/>
      </c>
      <c r="V66" s="5">
        <f>IF((_zlt415="是"),IF(A66&lt;=3,0,IF(A66&lt;=6,0.5,1)),1)</f>
        <v/>
      </c>
      <c r="W66" s="5">
        <f>_zrzkf6*V66+(1-_zrzkf6)</f>
        <v/>
      </c>
      <c r="X66" s="5">
        <f>IF(B66,O66-_zkfhzg-N66-U66-F66,0)</f>
        <v/>
      </c>
      <c r="Y66" s="5">
        <f>MAX(0,-X65)</f>
        <v/>
      </c>
      <c r="Z66" s="5">
        <f>MIN(Y65,MAX(0,(AC65+AB65+AA65+Z65+Y65)-AD65))</f>
        <v/>
      </c>
      <c r="AA66" s="5">
        <f>MIN(Z65,MAX(0,(AC65+AB65+AA65+Z65)-AD65))</f>
        <v/>
      </c>
      <c r="AB66" s="5">
        <f>MIN(AA65,MAX(0,(AC65+AB65+AA65)-AD65))</f>
        <v/>
      </c>
      <c r="AC66" s="5">
        <f>MIN(AB65,MAX(0,(AC65+AB65)-AD65))</f>
        <v/>
      </c>
      <c r="AD66" s="5">
        <f>MIN(MAX(X66,0),Y66+Z66+AA66+AB66+AC66)</f>
        <v/>
      </c>
      <c r="AE66" s="5">
        <f>MAX(X66,0)-AD66</f>
        <v/>
      </c>
      <c r="AF66" s="5">
        <f>AE66*_zk03a3*W66</f>
        <v/>
      </c>
      <c r="AG66" s="5">
        <f>IF(B66,X66-Q66,0)</f>
        <v/>
      </c>
      <c r="AH66" s="5">
        <f>MAX(0,-AG65)</f>
        <v/>
      </c>
      <c r="AI66" s="5">
        <f>MIN(AH65,MAX(0,(AL65+AK65+AJ65+AI65+AH65)-AM65))</f>
        <v/>
      </c>
      <c r="AJ66" s="5">
        <f>MIN(AI65,MAX(0,(AL65+AK65+AJ65+AI65)-AM65))</f>
        <v/>
      </c>
      <c r="AK66" s="5">
        <f>MIN(AJ65,MAX(0,(AL65+AK65+AJ65)-AM65))</f>
        <v/>
      </c>
      <c r="AL66" s="5">
        <f>MIN(AK65,MAX(0,(AL65+AK65)-AM65))</f>
        <v/>
      </c>
      <c r="AM66" s="5">
        <f>MIN(MAX(AG66,0),AH66+AI66+AJ66+AK66+AL66)</f>
        <v/>
      </c>
      <c r="AN66" s="5">
        <f>MAX(AG66,0)-AM66</f>
        <v/>
      </c>
      <c r="AO66" s="5">
        <f>AN66*_zk03a3*W66</f>
        <v/>
      </c>
      <c r="AP66" s="5">
        <f>IF(A66=_zx5hja,_zk1wd3,0)</f>
        <v/>
      </c>
      <c r="AQ66" s="5">
        <f>IF(B66,E66-_zkfhzg-L66-N66-F66+AP66,0)</f>
        <v/>
      </c>
      <c r="AR66" s="5">
        <f>AQ66-AF66</f>
        <v/>
      </c>
      <c r="AS66" s="5">
        <f>IF(B66,E66-_zkfhzg-L66-N66-F66-R66-AO66+AP66-IF(AND(A66=_zx5hja,_z2al7i&gt;_zx5hja),T66,0),0)</f>
        <v/>
      </c>
      <c r="AT66" s="5">
        <f>AT65+AR66</f>
        <v/>
      </c>
      <c r="AU66" s="5">
        <f>IF(AND(AT65&lt;0,AT66&gt;=0,AR66&gt;0),1,0)</f>
        <v/>
      </c>
      <c r="AV66" s="5">
        <f>AR66/(1+_z1ltt4)^A66</f>
        <v/>
      </c>
      <c r="AW66" s="5">
        <f>AW65+AV66</f>
        <v/>
      </c>
      <c r="AX66" s="5">
        <f>IF(AND(AW65&lt;0,AW66&gt;=0,AV66&gt;0),1,0)</f>
        <v/>
      </c>
      <c r="AY66" s="5">
        <f>(_z39asj+_zy2ig8)*C66</f>
        <v/>
      </c>
      <c r="AZ66" s="5">
        <f>IF(B66,_zkfhzg+_zdd3mz+_z2y4dt+F66-AP66,0)</f>
        <v/>
      </c>
      <c r="BA66" s="5">
        <f>IF(AQ66=0,BA65,SIGN(AQ66))</f>
        <v/>
      </c>
      <c r="BB66" s="5">
        <f>BB65+IF(OR(AQ66=0,BA65=0),0,IF(SIGN(AQ66)&lt;&gt;BA65,1,0))</f>
        <v/>
      </c>
      <c r="BC66" s="5">
        <f>IF(AR66=0,BC65,SIGN(AR66))</f>
        <v/>
      </c>
      <c r="BD66" s="5">
        <f>BD65+IF(OR(AR66=0,BC65=0),0,IF(SIGN(AR66)&lt;&gt;BC65,1,0))</f>
        <v/>
      </c>
      <c r="BE66" s="5">
        <f>IF(AS66=0,BE65,SIGN(AS66))</f>
        <v/>
      </c>
      <c r="BF66" s="5">
        <f>BF65+IF(OR(AS66=0,BE65=0),0,IF(SIGN(AS66)&lt;&gt;BE65,1,0))</f>
        <v/>
      </c>
    </row>
    <row r="67">
      <c r="A67" s="5" t="n">
        <v>3</v>
      </c>
      <c r="B67" s="5">
        <f>AND(A67&gt;=1,A67&lt;=_zx5hja)</f>
        <v/>
      </c>
      <c r="C67" s="5">
        <f>IF(B67,(1-_zecdlb)^(A67-1),0)</f>
        <v/>
      </c>
      <c r="D67" s="5">
        <f>(_zgk3lw+_z7m6d8)*C67</f>
        <v/>
      </c>
      <c r="E67" s="5">
        <f>IF(B67,D67+_zmztd5-_zdd3mz-_z2y4dt,0)</f>
        <v/>
      </c>
      <c r="F67" s="5">
        <f>IF(AND(B67,A67=_ztfkfy),_z4p8is*_zh30bl,0)</f>
        <v/>
      </c>
      <c r="G67" s="5">
        <f>F67*0.13/(1+0.13)</f>
        <v/>
      </c>
      <c r="H67" s="5">
        <f>IF(B67,_z7m6d8*C67+_zz1w2z,0)</f>
        <v/>
      </c>
      <c r="I67" s="5">
        <f>H67/(1+0.13)</f>
        <v/>
      </c>
      <c r="J67" s="5">
        <f>H67-I67</f>
        <v/>
      </c>
      <c r="K67" s="5">
        <f>M66+G67</f>
        <v/>
      </c>
      <c r="L67" s="5">
        <f>MAX(0,J67-K67)</f>
        <v/>
      </c>
      <c r="M67" s="5">
        <f>MAX(0,K67-J67)</f>
        <v/>
      </c>
      <c r="N67" s="5">
        <f>L67*0.12</f>
        <v/>
      </c>
      <c r="O67" s="5">
        <f>E67-J67</f>
        <v/>
      </c>
      <c r="P67" s="5">
        <f>T66</f>
        <v/>
      </c>
      <c r="Q67" s="5">
        <f>IF(AND(B67,A67&lt;=_z2al7i),P67*_zks9j8,0)</f>
        <v/>
      </c>
      <c r="R67" s="5">
        <f>IF(AND(B67,A67&lt;=_z2al7i),_zgsfrl,0)</f>
        <v/>
      </c>
      <c r="S67" s="5">
        <f>R67-Q67</f>
        <v/>
      </c>
      <c r="T67" s="5">
        <f>MAX(0,P67-S67)</f>
        <v/>
      </c>
      <c r="U67" s="5">
        <f>IF(AND(B67,A67&lt;=_zupe8l),_z0jo6h,0)</f>
        <v/>
      </c>
      <c r="V67" s="5">
        <f>IF((_zlt415="是"),IF(A67&lt;=3,0,IF(A67&lt;=6,0.5,1)),1)</f>
        <v/>
      </c>
      <c r="W67" s="5">
        <f>_zrzkf6*V67+(1-_zrzkf6)</f>
        <v/>
      </c>
      <c r="X67" s="5">
        <f>IF(B67,O67-_zkfhzg-N67-U67-F67,0)</f>
        <v/>
      </c>
      <c r="Y67" s="5">
        <f>MAX(0,-X66)</f>
        <v/>
      </c>
      <c r="Z67" s="5">
        <f>MIN(Y66,MAX(0,(AC66+AB66+AA66+Z66+Y66)-AD66))</f>
        <v/>
      </c>
      <c r="AA67" s="5">
        <f>MIN(Z66,MAX(0,(AC66+AB66+AA66+Z66)-AD66))</f>
        <v/>
      </c>
      <c r="AB67" s="5">
        <f>MIN(AA66,MAX(0,(AC66+AB66+AA66)-AD66))</f>
        <v/>
      </c>
      <c r="AC67" s="5">
        <f>MIN(AB66,MAX(0,(AC66+AB66)-AD66))</f>
        <v/>
      </c>
      <c r="AD67" s="5">
        <f>MIN(MAX(X67,0),Y67+Z67+AA67+AB67+AC67)</f>
        <v/>
      </c>
      <c r="AE67" s="5">
        <f>MAX(X67,0)-AD67</f>
        <v/>
      </c>
      <c r="AF67" s="5">
        <f>AE67*_zk03a3*W67</f>
        <v/>
      </c>
      <c r="AG67" s="5">
        <f>IF(B67,X67-Q67,0)</f>
        <v/>
      </c>
      <c r="AH67" s="5">
        <f>MAX(0,-AG66)</f>
        <v/>
      </c>
      <c r="AI67" s="5">
        <f>MIN(AH66,MAX(0,(AL66+AK66+AJ66+AI66+AH66)-AM66))</f>
        <v/>
      </c>
      <c r="AJ67" s="5">
        <f>MIN(AI66,MAX(0,(AL66+AK66+AJ66+AI66)-AM66))</f>
        <v/>
      </c>
      <c r="AK67" s="5">
        <f>MIN(AJ66,MAX(0,(AL66+AK66+AJ66)-AM66))</f>
        <v/>
      </c>
      <c r="AL67" s="5">
        <f>MIN(AK66,MAX(0,(AL66+AK66)-AM66))</f>
        <v/>
      </c>
      <c r="AM67" s="5">
        <f>MIN(MAX(AG67,0),AH67+AI67+AJ67+AK67+AL67)</f>
        <v/>
      </c>
      <c r="AN67" s="5">
        <f>MAX(AG67,0)-AM67</f>
        <v/>
      </c>
      <c r="AO67" s="5">
        <f>AN67*_zk03a3*W67</f>
        <v/>
      </c>
      <c r="AP67" s="5">
        <f>IF(A67=_zx5hja,_zk1wd3,0)</f>
        <v/>
      </c>
      <c r="AQ67" s="5">
        <f>IF(B67,E67-_zkfhzg-L67-N67-F67+AP67,0)</f>
        <v/>
      </c>
      <c r="AR67" s="5">
        <f>AQ67-AF67</f>
        <v/>
      </c>
      <c r="AS67" s="5">
        <f>IF(B67,E67-_zkfhzg-L67-N67-F67-R67-AO67+AP67-IF(AND(A67=_zx5hja,_z2al7i&gt;_zx5hja),T67,0),0)</f>
        <v/>
      </c>
      <c r="AT67" s="5">
        <f>AT66+AR67</f>
        <v/>
      </c>
      <c r="AU67" s="5">
        <f>IF(AND(AT66&lt;0,AT67&gt;=0,AR67&gt;0),1,0)</f>
        <v/>
      </c>
      <c r="AV67" s="5">
        <f>AR67/(1+_z1ltt4)^A67</f>
        <v/>
      </c>
      <c r="AW67" s="5">
        <f>AW66+AV67</f>
        <v/>
      </c>
      <c r="AX67" s="5">
        <f>IF(AND(AW66&lt;0,AW67&gt;=0,AV67&gt;0),1,0)</f>
        <v/>
      </c>
      <c r="AY67" s="5">
        <f>(_z39asj+_zy2ig8)*C67</f>
        <v/>
      </c>
      <c r="AZ67" s="5">
        <f>IF(B67,_zkfhzg+_zdd3mz+_z2y4dt+F67-AP67,0)</f>
        <v/>
      </c>
      <c r="BA67" s="5">
        <f>IF(AQ67=0,BA66,SIGN(AQ67))</f>
        <v/>
      </c>
      <c r="BB67" s="5">
        <f>BB66+IF(OR(AQ67=0,BA66=0),0,IF(SIGN(AQ67)&lt;&gt;BA66,1,0))</f>
        <v/>
      </c>
      <c r="BC67" s="5">
        <f>IF(AR67=0,BC66,SIGN(AR67))</f>
        <v/>
      </c>
      <c r="BD67" s="5">
        <f>BD66+IF(OR(AR67=0,BC66=0),0,IF(SIGN(AR67)&lt;&gt;BC66,1,0))</f>
        <v/>
      </c>
      <c r="BE67" s="5">
        <f>IF(AS67=0,BE66,SIGN(AS67))</f>
        <v/>
      </c>
      <c r="BF67" s="5">
        <f>BF66+IF(OR(AS67=0,BE66=0),0,IF(SIGN(AS67)&lt;&gt;BE66,1,0))</f>
        <v/>
      </c>
    </row>
    <row r="68">
      <c r="A68" s="5" t="n">
        <v>4</v>
      </c>
      <c r="B68" s="5">
        <f>AND(A68&gt;=1,A68&lt;=_zx5hja)</f>
        <v/>
      </c>
      <c r="C68" s="5">
        <f>IF(B68,(1-_zecdlb)^(A68-1),0)</f>
        <v/>
      </c>
      <c r="D68" s="5">
        <f>(_zgk3lw+_z7m6d8)*C68</f>
        <v/>
      </c>
      <c r="E68" s="5">
        <f>IF(B68,D68+_zmztd5-_zdd3mz-_z2y4dt,0)</f>
        <v/>
      </c>
      <c r="F68" s="5">
        <f>IF(AND(B68,A68=_ztfkfy),_z4p8is*_zh30bl,0)</f>
        <v/>
      </c>
      <c r="G68" s="5">
        <f>F68*0.13/(1+0.13)</f>
        <v/>
      </c>
      <c r="H68" s="5">
        <f>IF(B68,_z7m6d8*C68+_zz1w2z,0)</f>
        <v/>
      </c>
      <c r="I68" s="5">
        <f>H68/(1+0.13)</f>
        <v/>
      </c>
      <c r="J68" s="5">
        <f>H68-I68</f>
        <v/>
      </c>
      <c r="K68" s="5">
        <f>M67+G68</f>
        <v/>
      </c>
      <c r="L68" s="5">
        <f>MAX(0,J68-K68)</f>
        <v/>
      </c>
      <c r="M68" s="5">
        <f>MAX(0,K68-J68)</f>
        <v/>
      </c>
      <c r="N68" s="5">
        <f>L68*0.12</f>
        <v/>
      </c>
      <c r="O68" s="5">
        <f>E68-J68</f>
        <v/>
      </c>
      <c r="P68" s="5">
        <f>T67</f>
        <v/>
      </c>
      <c r="Q68" s="5">
        <f>IF(AND(B68,A68&lt;=_z2al7i),P68*_zks9j8,0)</f>
        <v/>
      </c>
      <c r="R68" s="5">
        <f>IF(AND(B68,A68&lt;=_z2al7i),_zgsfrl,0)</f>
        <v/>
      </c>
      <c r="S68" s="5">
        <f>R68-Q68</f>
        <v/>
      </c>
      <c r="T68" s="5">
        <f>MAX(0,P68-S68)</f>
        <v/>
      </c>
      <c r="U68" s="5">
        <f>IF(AND(B68,A68&lt;=_zupe8l),_z0jo6h,0)</f>
        <v/>
      </c>
      <c r="V68" s="5">
        <f>IF((_zlt415="是"),IF(A68&lt;=3,0,IF(A68&lt;=6,0.5,1)),1)</f>
        <v/>
      </c>
      <c r="W68" s="5">
        <f>_zrzkf6*V68+(1-_zrzkf6)</f>
        <v/>
      </c>
      <c r="X68" s="5">
        <f>IF(B68,O68-_zkfhzg-N68-U68-F68,0)</f>
        <v/>
      </c>
      <c r="Y68" s="5">
        <f>MAX(0,-X67)</f>
        <v/>
      </c>
      <c r="Z68" s="5">
        <f>MIN(Y67,MAX(0,(AC67+AB67+AA67+Z67+Y67)-AD67))</f>
        <v/>
      </c>
      <c r="AA68" s="5">
        <f>MIN(Z67,MAX(0,(AC67+AB67+AA67+Z67)-AD67))</f>
        <v/>
      </c>
      <c r="AB68" s="5">
        <f>MIN(AA67,MAX(0,(AC67+AB67+AA67)-AD67))</f>
        <v/>
      </c>
      <c r="AC68" s="5">
        <f>MIN(AB67,MAX(0,(AC67+AB67)-AD67))</f>
        <v/>
      </c>
      <c r="AD68" s="5">
        <f>MIN(MAX(X68,0),Y68+Z68+AA68+AB68+AC68)</f>
        <v/>
      </c>
      <c r="AE68" s="5">
        <f>MAX(X68,0)-AD68</f>
        <v/>
      </c>
      <c r="AF68" s="5">
        <f>AE68*_zk03a3*W68</f>
        <v/>
      </c>
      <c r="AG68" s="5">
        <f>IF(B68,X68-Q68,0)</f>
        <v/>
      </c>
      <c r="AH68" s="5">
        <f>MAX(0,-AG67)</f>
        <v/>
      </c>
      <c r="AI68" s="5">
        <f>MIN(AH67,MAX(0,(AL67+AK67+AJ67+AI67+AH67)-AM67))</f>
        <v/>
      </c>
      <c r="AJ68" s="5">
        <f>MIN(AI67,MAX(0,(AL67+AK67+AJ67+AI67)-AM67))</f>
        <v/>
      </c>
      <c r="AK68" s="5">
        <f>MIN(AJ67,MAX(0,(AL67+AK67+AJ67)-AM67))</f>
        <v/>
      </c>
      <c r="AL68" s="5">
        <f>MIN(AK67,MAX(0,(AL67+AK67)-AM67))</f>
        <v/>
      </c>
      <c r="AM68" s="5">
        <f>MIN(MAX(AG68,0),AH68+AI68+AJ68+AK68+AL68)</f>
        <v/>
      </c>
      <c r="AN68" s="5">
        <f>MAX(AG68,0)-AM68</f>
        <v/>
      </c>
      <c r="AO68" s="5">
        <f>AN68*_zk03a3*W68</f>
        <v/>
      </c>
      <c r="AP68" s="5">
        <f>IF(A68=_zx5hja,_zk1wd3,0)</f>
        <v/>
      </c>
      <c r="AQ68" s="5">
        <f>IF(B68,E68-_zkfhzg-L68-N68-F68+AP68,0)</f>
        <v/>
      </c>
      <c r="AR68" s="5">
        <f>AQ68-AF68</f>
        <v/>
      </c>
      <c r="AS68" s="5">
        <f>IF(B68,E68-_zkfhzg-L68-N68-F68-R68-AO68+AP68-IF(AND(A68=_zx5hja,_z2al7i&gt;_zx5hja),T68,0),0)</f>
        <v/>
      </c>
      <c r="AT68" s="5">
        <f>AT67+AR68</f>
        <v/>
      </c>
      <c r="AU68" s="5">
        <f>IF(AND(AT67&lt;0,AT68&gt;=0,AR68&gt;0),1,0)</f>
        <v/>
      </c>
      <c r="AV68" s="5">
        <f>AR68/(1+_z1ltt4)^A68</f>
        <v/>
      </c>
      <c r="AW68" s="5">
        <f>AW67+AV68</f>
        <v/>
      </c>
      <c r="AX68" s="5">
        <f>IF(AND(AW67&lt;0,AW68&gt;=0,AV68&gt;0),1,0)</f>
        <v/>
      </c>
      <c r="AY68" s="5">
        <f>(_z39asj+_zy2ig8)*C68</f>
        <v/>
      </c>
      <c r="AZ68" s="5">
        <f>IF(B68,_zkfhzg+_zdd3mz+_z2y4dt+F68-AP68,0)</f>
        <v/>
      </c>
      <c r="BA68" s="5">
        <f>IF(AQ68=0,BA67,SIGN(AQ68))</f>
        <v/>
      </c>
      <c r="BB68" s="5">
        <f>BB67+IF(OR(AQ68=0,BA67=0),0,IF(SIGN(AQ68)&lt;&gt;BA67,1,0))</f>
        <v/>
      </c>
      <c r="BC68" s="5">
        <f>IF(AR68=0,BC67,SIGN(AR68))</f>
        <v/>
      </c>
      <c r="BD68" s="5">
        <f>BD67+IF(OR(AR68=0,BC67=0),0,IF(SIGN(AR68)&lt;&gt;BC67,1,0))</f>
        <v/>
      </c>
      <c r="BE68" s="5">
        <f>IF(AS68=0,BE67,SIGN(AS68))</f>
        <v/>
      </c>
      <c r="BF68" s="5">
        <f>BF67+IF(OR(AS68=0,BE67=0),0,IF(SIGN(AS68)&lt;&gt;BE67,1,0))</f>
        <v/>
      </c>
    </row>
    <row r="69">
      <c r="A69" s="5" t="n">
        <v>5</v>
      </c>
      <c r="B69" s="5">
        <f>AND(A69&gt;=1,A69&lt;=_zx5hja)</f>
        <v/>
      </c>
      <c r="C69" s="5">
        <f>IF(B69,(1-_zecdlb)^(A69-1),0)</f>
        <v/>
      </c>
      <c r="D69" s="5">
        <f>(_zgk3lw+_z7m6d8)*C69</f>
        <v/>
      </c>
      <c r="E69" s="5">
        <f>IF(B69,D69+_zmztd5-_zdd3mz-_z2y4dt,0)</f>
        <v/>
      </c>
      <c r="F69" s="5">
        <f>IF(AND(B69,A69=_ztfkfy),_z4p8is*_zh30bl,0)</f>
        <v/>
      </c>
      <c r="G69" s="5">
        <f>F69*0.13/(1+0.13)</f>
        <v/>
      </c>
      <c r="H69" s="5">
        <f>IF(B69,_z7m6d8*C69+_zz1w2z,0)</f>
        <v/>
      </c>
      <c r="I69" s="5">
        <f>H69/(1+0.13)</f>
        <v/>
      </c>
      <c r="J69" s="5">
        <f>H69-I69</f>
        <v/>
      </c>
      <c r="K69" s="5">
        <f>M68+G69</f>
        <v/>
      </c>
      <c r="L69" s="5">
        <f>MAX(0,J69-K69)</f>
        <v/>
      </c>
      <c r="M69" s="5">
        <f>MAX(0,K69-J69)</f>
        <v/>
      </c>
      <c r="N69" s="5">
        <f>L69*0.12</f>
        <v/>
      </c>
      <c r="O69" s="5">
        <f>E69-J69</f>
        <v/>
      </c>
      <c r="P69" s="5">
        <f>T68</f>
        <v/>
      </c>
      <c r="Q69" s="5">
        <f>IF(AND(B69,A69&lt;=_z2al7i),P69*_zks9j8,0)</f>
        <v/>
      </c>
      <c r="R69" s="5">
        <f>IF(AND(B69,A69&lt;=_z2al7i),_zgsfrl,0)</f>
        <v/>
      </c>
      <c r="S69" s="5">
        <f>R69-Q69</f>
        <v/>
      </c>
      <c r="T69" s="5">
        <f>MAX(0,P69-S69)</f>
        <v/>
      </c>
      <c r="U69" s="5">
        <f>IF(AND(B69,A69&lt;=_zupe8l),_z0jo6h,0)</f>
        <v/>
      </c>
      <c r="V69" s="5">
        <f>IF((_zlt415="是"),IF(A69&lt;=3,0,IF(A69&lt;=6,0.5,1)),1)</f>
        <v/>
      </c>
      <c r="W69" s="5">
        <f>_zrzkf6*V69+(1-_zrzkf6)</f>
        <v/>
      </c>
      <c r="X69" s="5">
        <f>IF(B69,O69-_zkfhzg-N69-U69-F69,0)</f>
        <v/>
      </c>
      <c r="Y69" s="5">
        <f>MAX(0,-X68)</f>
        <v/>
      </c>
      <c r="Z69" s="5">
        <f>MIN(Y68,MAX(0,(AC68+AB68+AA68+Z68+Y68)-AD68))</f>
        <v/>
      </c>
      <c r="AA69" s="5">
        <f>MIN(Z68,MAX(0,(AC68+AB68+AA68+Z68)-AD68))</f>
        <v/>
      </c>
      <c r="AB69" s="5">
        <f>MIN(AA68,MAX(0,(AC68+AB68+AA68)-AD68))</f>
        <v/>
      </c>
      <c r="AC69" s="5">
        <f>MIN(AB68,MAX(0,(AC68+AB68)-AD68))</f>
        <v/>
      </c>
      <c r="AD69" s="5">
        <f>MIN(MAX(X69,0),Y69+Z69+AA69+AB69+AC69)</f>
        <v/>
      </c>
      <c r="AE69" s="5">
        <f>MAX(X69,0)-AD69</f>
        <v/>
      </c>
      <c r="AF69" s="5">
        <f>AE69*_zk03a3*W69</f>
        <v/>
      </c>
      <c r="AG69" s="5">
        <f>IF(B69,X69-Q69,0)</f>
        <v/>
      </c>
      <c r="AH69" s="5">
        <f>MAX(0,-AG68)</f>
        <v/>
      </c>
      <c r="AI69" s="5">
        <f>MIN(AH68,MAX(0,(AL68+AK68+AJ68+AI68+AH68)-AM68))</f>
        <v/>
      </c>
      <c r="AJ69" s="5">
        <f>MIN(AI68,MAX(0,(AL68+AK68+AJ68+AI68)-AM68))</f>
        <v/>
      </c>
      <c r="AK69" s="5">
        <f>MIN(AJ68,MAX(0,(AL68+AK68+AJ68)-AM68))</f>
        <v/>
      </c>
      <c r="AL69" s="5">
        <f>MIN(AK68,MAX(0,(AL68+AK68)-AM68))</f>
        <v/>
      </c>
      <c r="AM69" s="5">
        <f>MIN(MAX(AG69,0),AH69+AI69+AJ69+AK69+AL69)</f>
        <v/>
      </c>
      <c r="AN69" s="5">
        <f>MAX(AG69,0)-AM69</f>
        <v/>
      </c>
      <c r="AO69" s="5">
        <f>AN69*_zk03a3*W69</f>
        <v/>
      </c>
      <c r="AP69" s="5">
        <f>IF(A69=_zx5hja,_zk1wd3,0)</f>
        <v/>
      </c>
      <c r="AQ69" s="5">
        <f>IF(B69,E69-_zkfhzg-L69-N69-F69+AP69,0)</f>
        <v/>
      </c>
      <c r="AR69" s="5">
        <f>AQ69-AF69</f>
        <v/>
      </c>
      <c r="AS69" s="5">
        <f>IF(B69,E69-_zkfhzg-L69-N69-F69-R69-AO69+AP69-IF(AND(A69=_zx5hja,_z2al7i&gt;_zx5hja),T69,0),0)</f>
        <v/>
      </c>
      <c r="AT69" s="5">
        <f>AT68+AR69</f>
        <v/>
      </c>
      <c r="AU69" s="5">
        <f>IF(AND(AT68&lt;0,AT69&gt;=0,AR69&gt;0),1,0)</f>
        <v/>
      </c>
      <c r="AV69" s="5">
        <f>AR69/(1+_z1ltt4)^A69</f>
        <v/>
      </c>
      <c r="AW69" s="5">
        <f>AW68+AV69</f>
        <v/>
      </c>
      <c r="AX69" s="5">
        <f>IF(AND(AW68&lt;0,AW69&gt;=0,AV69&gt;0),1,0)</f>
        <v/>
      </c>
      <c r="AY69" s="5">
        <f>(_z39asj+_zy2ig8)*C69</f>
        <v/>
      </c>
      <c r="AZ69" s="5">
        <f>IF(B69,_zkfhzg+_zdd3mz+_z2y4dt+F69-AP69,0)</f>
        <v/>
      </c>
      <c r="BA69" s="5">
        <f>IF(AQ69=0,BA68,SIGN(AQ69))</f>
        <v/>
      </c>
      <c r="BB69" s="5">
        <f>BB68+IF(OR(AQ69=0,BA68=0),0,IF(SIGN(AQ69)&lt;&gt;BA68,1,0))</f>
        <v/>
      </c>
      <c r="BC69" s="5">
        <f>IF(AR69=0,BC68,SIGN(AR69))</f>
        <v/>
      </c>
      <c r="BD69" s="5">
        <f>BD68+IF(OR(AR69=0,BC68=0),0,IF(SIGN(AR69)&lt;&gt;BC68,1,0))</f>
        <v/>
      </c>
      <c r="BE69" s="5">
        <f>IF(AS69=0,BE68,SIGN(AS69))</f>
        <v/>
      </c>
      <c r="BF69" s="5">
        <f>BF68+IF(OR(AS69=0,BE68=0),0,IF(SIGN(AS69)&lt;&gt;BE68,1,0))</f>
        <v/>
      </c>
    </row>
    <row r="70">
      <c r="A70" s="5" t="n">
        <v>6</v>
      </c>
      <c r="B70" s="5">
        <f>AND(A70&gt;=1,A70&lt;=_zx5hja)</f>
        <v/>
      </c>
      <c r="C70" s="5">
        <f>IF(B70,(1-_zecdlb)^(A70-1),0)</f>
        <v/>
      </c>
      <c r="D70" s="5">
        <f>(_zgk3lw+_z7m6d8)*C70</f>
        <v/>
      </c>
      <c r="E70" s="5">
        <f>IF(B70,D70+_zmztd5-_zdd3mz-_z2y4dt,0)</f>
        <v/>
      </c>
      <c r="F70" s="5">
        <f>IF(AND(B70,A70=_ztfkfy),_z4p8is*_zh30bl,0)</f>
        <v/>
      </c>
      <c r="G70" s="5">
        <f>F70*0.13/(1+0.13)</f>
        <v/>
      </c>
      <c r="H70" s="5">
        <f>IF(B70,_z7m6d8*C70+_zz1w2z,0)</f>
        <v/>
      </c>
      <c r="I70" s="5">
        <f>H70/(1+0.13)</f>
        <v/>
      </c>
      <c r="J70" s="5">
        <f>H70-I70</f>
        <v/>
      </c>
      <c r="K70" s="5">
        <f>M69+G70</f>
        <v/>
      </c>
      <c r="L70" s="5">
        <f>MAX(0,J70-K70)</f>
        <v/>
      </c>
      <c r="M70" s="5">
        <f>MAX(0,K70-J70)</f>
        <v/>
      </c>
      <c r="N70" s="5">
        <f>L70*0.12</f>
        <v/>
      </c>
      <c r="O70" s="5">
        <f>E70-J70</f>
        <v/>
      </c>
      <c r="P70" s="5">
        <f>T69</f>
        <v/>
      </c>
      <c r="Q70" s="5">
        <f>IF(AND(B70,A70&lt;=_z2al7i),P70*_zks9j8,0)</f>
        <v/>
      </c>
      <c r="R70" s="5">
        <f>IF(AND(B70,A70&lt;=_z2al7i),_zgsfrl,0)</f>
        <v/>
      </c>
      <c r="S70" s="5">
        <f>R70-Q70</f>
        <v/>
      </c>
      <c r="T70" s="5">
        <f>MAX(0,P70-S70)</f>
        <v/>
      </c>
      <c r="U70" s="5">
        <f>IF(AND(B70,A70&lt;=_zupe8l),_z0jo6h,0)</f>
        <v/>
      </c>
      <c r="V70" s="5">
        <f>IF((_zlt415="是"),IF(A70&lt;=3,0,IF(A70&lt;=6,0.5,1)),1)</f>
        <v/>
      </c>
      <c r="W70" s="5">
        <f>_zrzkf6*V70+(1-_zrzkf6)</f>
        <v/>
      </c>
      <c r="X70" s="5">
        <f>IF(B70,O70-_zkfhzg-N70-U70-F70,0)</f>
        <v/>
      </c>
      <c r="Y70" s="5">
        <f>MAX(0,-X69)</f>
        <v/>
      </c>
      <c r="Z70" s="5">
        <f>MIN(Y69,MAX(0,(AC69+AB69+AA69+Z69+Y69)-AD69))</f>
        <v/>
      </c>
      <c r="AA70" s="5">
        <f>MIN(Z69,MAX(0,(AC69+AB69+AA69+Z69)-AD69))</f>
        <v/>
      </c>
      <c r="AB70" s="5">
        <f>MIN(AA69,MAX(0,(AC69+AB69+AA69)-AD69))</f>
        <v/>
      </c>
      <c r="AC70" s="5">
        <f>MIN(AB69,MAX(0,(AC69+AB69)-AD69))</f>
        <v/>
      </c>
      <c r="AD70" s="5">
        <f>MIN(MAX(X70,0),Y70+Z70+AA70+AB70+AC70)</f>
        <v/>
      </c>
      <c r="AE70" s="5">
        <f>MAX(X70,0)-AD70</f>
        <v/>
      </c>
      <c r="AF70" s="5">
        <f>AE70*_zk03a3*W70</f>
        <v/>
      </c>
      <c r="AG70" s="5">
        <f>IF(B70,X70-Q70,0)</f>
        <v/>
      </c>
      <c r="AH70" s="5">
        <f>MAX(0,-AG69)</f>
        <v/>
      </c>
      <c r="AI70" s="5">
        <f>MIN(AH69,MAX(0,(AL69+AK69+AJ69+AI69+AH69)-AM69))</f>
        <v/>
      </c>
      <c r="AJ70" s="5">
        <f>MIN(AI69,MAX(0,(AL69+AK69+AJ69+AI69)-AM69))</f>
        <v/>
      </c>
      <c r="AK70" s="5">
        <f>MIN(AJ69,MAX(0,(AL69+AK69+AJ69)-AM69))</f>
        <v/>
      </c>
      <c r="AL70" s="5">
        <f>MIN(AK69,MAX(0,(AL69+AK69)-AM69))</f>
        <v/>
      </c>
      <c r="AM70" s="5">
        <f>MIN(MAX(AG70,0),AH70+AI70+AJ70+AK70+AL70)</f>
        <v/>
      </c>
      <c r="AN70" s="5">
        <f>MAX(AG70,0)-AM70</f>
        <v/>
      </c>
      <c r="AO70" s="5">
        <f>AN70*_zk03a3*W70</f>
        <v/>
      </c>
      <c r="AP70" s="5">
        <f>IF(A70=_zx5hja,_zk1wd3,0)</f>
        <v/>
      </c>
      <c r="AQ70" s="5">
        <f>IF(B70,E70-_zkfhzg-L70-N70-F70+AP70,0)</f>
        <v/>
      </c>
      <c r="AR70" s="5">
        <f>AQ70-AF70</f>
        <v/>
      </c>
      <c r="AS70" s="5">
        <f>IF(B70,E70-_zkfhzg-L70-N70-F70-R70-AO70+AP70-IF(AND(A70=_zx5hja,_z2al7i&gt;_zx5hja),T70,0),0)</f>
        <v/>
      </c>
      <c r="AT70" s="5">
        <f>AT69+AR70</f>
        <v/>
      </c>
      <c r="AU70" s="5">
        <f>IF(AND(AT69&lt;0,AT70&gt;=0,AR70&gt;0),1,0)</f>
        <v/>
      </c>
      <c r="AV70" s="5">
        <f>AR70/(1+_z1ltt4)^A70</f>
        <v/>
      </c>
      <c r="AW70" s="5">
        <f>AW69+AV70</f>
        <v/>
      </c>
      <c r="AX70" s="5">
        <f>IF(AND(AW69&lt;0,AW70&gt;=0,AV70&gt;0),1,0)</f>
        <v/>
      </c>
      <c r="AY70" s="5">
        <f>(_z39asj+_zy2ig8)*C70</f>
        <v/>
      </c>
      <c r="AZ70" s="5">
        <f>IF(B70,_zkfhzg+_zdd3mz+_z2y4dt+F70-AP70,0)</f>
        <v/>
      </c>
      <c r="BA70" s="5">
        <f>IF(AQ70=0,BA69,SIGN(AQ70))</f>
        <v/>
      </c>
      <c r="BB70" s="5">
        <f>BB69+IF(OR(AQ70=0,BA69=0),0,IF(SIGN(AQ70)&lt;&gt;BA69,1,0))</f>
        <v/>
      </c>
      <c r="BC70" s="5">
        <f>IF(AR70=0,BC69,SIGN(AR70))</f>
        <v/>
      </c>
      <c r="BD70" s="5">
        <f>BD69+IF(OR(AR70=0,BC69=0),0,IF(SIGN(AR70)&lt;&gt;BC69,1,0))</f>
        <v/>
      </c>
      <c r="BE70" s="5">
        <f>IF(AS70=0,BE69,SIGN(AS70))</f>
        <v/>
      </c>
      <c r="BF70" s="5">
        <f>BF69+IF(OR(AS70=0,BE69=0),0,IF(SIGN(AS70)&lt;&gt;BE69,1,0))</f>
        <v/>
      </c>
    </row>
    <row r="71">
      <c r="A71" s="5" t="n">
        <v>7</v>
      </c>
      <c r="B71" s="5">
        <f>AND(A71&gt;=1,A71&lt;=_zx5hja)</f>
        <v/>
      </c>
      <c r="C71" s="5">
        <f>IF(B71,(1-_zecdlb)^(A71-1),0)</f>
        <v/>
      </c>
      <c r="D71" s="5">
        <f>(_zgk3lw+_z7m6d8)*C71</f>
        <v/>
      </c>
      <c r="E71" s="5">
        <f>IF(B71,D71+_zmztd5-_zdd3mz-_z2y4dt,0)</f>
        <v/>
      </c>
      <c r="F71" s="5">
        <f>IF(AND(B71,A71=_ztfkfy),_z4p8is*_zh30bl,0)</f>
        <v/>
      </c>
      <c r="G71" s="5">
        <f>F71*0.13/(1+0.13)</f>
        <v/>
      </c>
      <c r="H71" s="5">
        <f>IF(B71,_z7m6d8*C71+_zz1w2z,0)</f>
        <v/>
      </c>
      <c r="I71" s="5">
        <f>H71/(1+0.13)</f>
        <v/>
      </c>
      <c r="J71" s="5">
        <f>H71-I71</f>
        <v/>
      </c>
      <c r="K71" s="5">
        <f>M70+G71</f>
        <v/>
      </c>
      <c r="L71" s="5">
        <f>MAX(0,J71-K71)</f>
        <v/>
      </c>
      <c r="M71" s="5">
        <f>MAX(0,K71-J71)</f>
        <v/>
      </c>
      <c r="N71" s="5">
        <f>L71*0.12</f>
        <v/>
      </c>
      <c r="O71" s="5">
        <f>E71-J71</f>
        <v/>
      </c>
      <c r="P71" s="5">
        <f>T70</f>
        <v/>
      </c>
      <c r="Q71" s="5">
        <f>IF(AND(B71,A71&lt;=_z2al7i),P71*_zks9j8,0)</f>
        <v/>
      </c>
      <c r="R71" s="5">
        <f>IF(AND(B71,A71&lt;=_z2al7i),_zgsfrl,0)</f>
        <v/>
      </c>
      <c r="S71" s="5">
        <f>R71-Q71</f>
        <v/>
      </c>
      <c r="T71" s="5">
        <f>MAX(0,P71-S71)</f>
        <v/>
      </c>
      <c r="U71" s="5">
        <f>IF(AND(B71,A71&lt;=_zupe8l),_z0jo6h,0)</f>
        <v/>
      </c>
      <c r="V71" s="5">
        <f>IF((_zlt415="是"),IF(A71&lt;=3,0,IF(A71&lt;=6,0.5,1)),1)</f>
        <v/>
      </c>
      <c r="W71" s="5">
        <f>_zrzkf6*V71+(1-_zrzkf6)</f>
        <v/>
      </c>
      <c r="X71" s="5">
        <f>IF(B71,O71-_zkfhzg-N71-U71-F71,0)</f>
        <v/>
      </c>
      <c r="Y71" s="5">
        <f>MAX(0,-X70)</f>
        <v/>
      </c>
      <c r="Z71" s="5">
        <f>MIN(Y70,MAX(0,(AC70+AB70+AA70+Z70+Y70)-AD70))</f>
        <v/>
      </c>
      <c r="AA71" s="5">
        <f>MIN(Z70,MAX(0,(AC70+AB70+AA70+Z70)-AD70))</f>
        <v/>
      </c>
      <c r="AB71" s="5">
        <f>MIN(AA70,MAX(0,(AC70+AB70+AA70)-AD70))</f>
        <v/>
      </c>
      <c r="AC71" s="5">
        <f>MIN(AB70,MAX(0,(AC70+AB70)-AD70))</f>
        <v/>
      </c>
      <c r="AD71" s="5">
        <f>MIN(MAX(X71,0),Y71+Z71+AA71+AB71+AC71)</f>
        <v/>
      </c>
      <c r="AE71" s="5">
        <f>MAX(X71,0)-AD71</f>
        <v/>
      </c>
      <c r="AF71" s="5">
        <f>AE71*_zk03a3*W71</f>
        <v/>
      </c>
      <c r="AG71" s="5">
        <f>IF(B71,X71-Q71,0)</f>
        <v/>
      </c>
      <c r="AH71" s="5">
        <f>MAX(0,-AG70)</f>
        <v/>
      </c>
      <c r="AI71" s="5">
        <f>MIN(AH70,MAX(0,(AL70+AK70+AJ70+AI70+AH70)-AM70))</f>
        <v/>
      </c>
      <c r="AJ71" s="5">
        <f>MIN(AI70,MAX(0,(AL70+AK70+AJ70+AI70)-AM70))</f>
        <v/>
      </c>
      <c r="AK71" s="5">
        <f>MIN(AJ70,MAX(0,(AL70+AK70+AJ70)-AM70))</f>
        <v/>
      </c>
      <c r="AL71" s="5">
        <f>MIN(AK70,MAX(0,(AL70+AK70)-AM70))</f>
        <v/>
      </c>
      <c r="AM71" s="5">
        <f>MIN(MAX(AG71,0),AH71+AI71+AJ71+AK71+AL71)</f>
        <v/>
      </c>
      <c r="AN71" s="5">
        <f>MAX(AG71,0)-AM71</f>
        <v/>
      </c>
      <c r="AO71" s="5">
        <f>AN71*_zk03a3*W71</f>
        <v/>
      </c>
      <c r="AP71" s="5">
        <f>IF(A71=_zx5hja,_zk1wd3,0)</f>
        <v/>
      </c>
      <c r="AQ71" s="5">
        <f>IF(B71,E71-_zkfhzg-L71-N71-F71+AP71,0)</f>
        <v/>
      </c>
      <c r="AR71" s="5">
        <f>AQ71-AF71</f>
        <v/>
      </c>
      <c r="AS71" s="5">
        <f>IF(B71,E71-_zkfhzg-L71-N71-F71-R71-AO71+AP71-IF(AND(A71=_zx5hja,_z2al7i&gt;_zx5hja),T71,0),0)</f>
        <v/>
      </c>
      <c r="AT71" s="5">
        <f>AT70+AR71</f>
        <v/>
      </c>
      <c r="AU71" s="5">
        <f>IF(AND(AT70&lt;0,AT71&gt;=0,AR71&gt;0),1,0)</f>
        <v/>
      </c>
      <c r="AV71" s="5">
        <f>AR71/(1+_z1ltt4)^A71</f>
        <v/>
      </c>
      <c r="AW71" s="5">
        <f>AW70+AV71</f>
        <v/>
      </c>
      <c r="AX71" s="5">
        <f>IF(AND(AW70&lt;0,AW71&gt;=0,AV71&gt;0),1,0)</f>
        <v/>
      </c>
      <c r="AY71" s="5">
        <f>(_z39asj+_zy2ig8)*C71</f>
        <v/>
      </c>
      <c r="AZ71" s="5">
        <f>IF(B71,_zkfhzg+_zdd3mz+_z2y4dt+F71-AP71,0)</f>
        <v/>
      </c>
      <c r="BA71" s="5">
        <f>IF(AQ71=0,BA70,SIGN(AQ71))</f>
        <v/>
      </c>
      <c r="BB71" s="5">
        <f>BB70+IF(OR(AQ71=0,BA70=0),0,IF(SIGN(AQ71)&lt;&gt;BA70,1,0))</f>
        <v/>
      </c>
      <c r="BC71" s="5">
        <f>IF(AR71=0,BC70,SIGN(AR71))</f>
        <v/>
      </c>
      <c r="BD71" s="5">
        <f>BD70+IF(OR(AR71=0,BC70=0),0,IF(SIGN(AR71)&lt;&gt;BC70,1,0))</f>
        <v/>
      </c>
      <c r="BE71" s="5">
        <f>IF(AS71=0,BE70,SIGN(AS71))</f>
        <v/>
      </c>
      <c r="BF71" s="5">
        <f>BF70+IF(OR(AS71=0,BE70=0),0,IF(SIGN(AS71)&lt;&gt;BE70,1,0))</f>
        <v/>
      </c>
    </row>
    <row r="72">
      <c r="A72" s="5" t="n">
        <v>8</v>
      </c>
      <c r="B72" s="5">
        <f>AND(A72&gt;=1,A72&lt;=_zx5hja)</f>
        <v/>
      </c>
      <c r="C72" s="5">
        <f>IF(B72,(1-_zecdlb)^(A72-1),0)</f>
        <v/>
      </c>
      <c r="D72" s="5">
        <f>(_zgk3lw+_z7m6d8)*C72</f>
        <v/>
      </c>
      <c r="E72" s="5">
        <f>IF(B72,D72+_zmztd5-_zdd3mz-_z2y4dt,0)</f>
        <v/>
      </c>
      <c r="F72" s="5">
        <f>IF(AND(B72,A72=_ztfkfy),_z4p8is*_zh30bl,0)</f>
        <v/>
      </c>
      <c r="G72" s="5">
        <f>F72*0.13/(1+0.13)</f>
        <v/>
      </c>
      <c r="H72" s="5">
        <f>IF(B72,_z7m6d8*C72+_zz1w2z,0)</f>
        <v/>
      </c>
      <c r="I72" s="5">
        <f>H72/(1+0.13)</f>
        <v/>
      </c>
      <c r="J72" s="5">
        <f>H72-I72</f>
        <v/>
      </c>
      <c r="K72" s="5">
        <f>M71+G72</f>
        <v/>
      </c>
      <c r="L72" s="5">
        <f>MAX(0,J72-K72)</f>
        <v/>
      </c>
      <c r="M72" s="5">
        <f>MAX(0,K72-J72)</f>
        <v/>
      </c>
      <c r="N72" s="5">
        <f>L72*0.12</f>
        <v/>
      </c>
      <c r="O72" s="5">
        <f>E72-J72</f>
        <v/>
      </c>
      <c r="P72" s="5">
        <f>T71</f>
        <v/>
      </c>
      <c r="Q72" s="5">
        <f>IF(AND(B72,A72&lt;=_z2al7i),P72*_zks9j8,0)</f>
        <v/>
      </c>
      <c r="R72" s="5">
        <f>IF(AND(B72,A72&lt;=_z2al7i),_zgsfrl,0)</f>
        <v/>
      </c>
      <c r="S72" s="5">
        <f>R72-Q72</f>
        <v/>
      </c>
      <c r="T72" s="5">
        <f>MAX(0,P72-S72)</f>
        <v/>
      </c>
      <c r="U72" s="5">
        <f>IF(AND(B72,A72&lt;=_zupe8l),_z0jo6h,0)</f>
        <v/>
      </c>
      <c r="V72" s="5">
        <f>IF((_zlt415="是"),IF(A72&lt;=3,0,IF(A72&lt;=6,0.5,1)),1)</f>
        <v/>
      </c>
      <c r="W72" s="5">
        <f>_zrzkf6*V72+(1-_zrzkf6)</f>
        <v/>
      </c>
      <c r="X72" s="5">
        <f>IF(B72,O72-_zkfhzg-N72-U72-F72,0)</f>
        <v/>
      </c>
      <c r="Y72" s="5">
        <f>MAX(0,-X71)</f>
        <v/>
      </c>
      <c r="Z72" s="5">
        <f>MIN(Y71,MAX(0,(AC71+AB71+AA71+Z71+Y71)-AD71))</f>
        <v/>
      </c>
      <c r="AA72" s="5">
        <f>MIN(Z71,MAX(0,(AC71+AB71+AA71+Z71)-AD71))</f>
        <v/>
      </c>
      <c r="AB72" s="5">
        <f>MIN(AA71,MAX(0,(AC71+AB71+AA71)-AD71))</f>
        <v/>
      </c>
      <c r="AC72" s="5">
        <f>MIN(AB71,MAX(0,(AC71+AB71)-AD71))</f>
        <v/>
      </c>
      <c r="AD72" s="5">
        <f>MIN(MAX(X72,0),Y72+Z72+AA72+AB72+AC72)</f>
        <v/>
      </c>
      <c r="AE72" s="5">
        <f>MAX(X72,0)-AD72</f>
        <v/>
      </c>
      <c r="AF72" s="5">
        <f>AE72*_zk03a3*W72</f>
        <v/>
      </c>
      <c r="AG72" s="5">
        <f>IF(B72,X72-Q72,0)</f>
        <v/>
      </c>
      <c r="AH72" s="5">
        <f>MAX(0,-AG71)</f>
        <v/>
      </c>
      <c r="AI72" s="5">
        <f>MIN(AH71,MAX(0,(AL71+AK71+AJ71+AI71+AH71)-AM71))</f>
        <v/>
      </c>
      <c r="AJ72" s="5">
        <f>MIN(AI71,MAX(0,(AL71+AK71+AJ71+AI71)-AM71))</f>
        <v/>
      </c>
      <c r="AK72" s="5">
        <f>MIN(AJ71,MAX(0,(AL71+AK71+AJ71)-AM71))</f>
        <v/>
      </c>
      <c r="AL72" s="5">
        <f>MIN(AK71,MAX(0,(AL71+AK71)-AM71))</f>
        <v/>
      </c>
      <c r="AM72" s="5">
        <f>MIN(MAX(AG72,0),AH72+AI72+AJ72+AK72+AL72)</f>
        <v/>
      </c>
      <c r="AN72" s="5">
        <f>MAX(AG72,0)-AM72</f>
        <v/>
      </c>
      <c r="AO72" s="5">
        <f>AN72*_zk03a3*W72</f>
        <v/>
      </c>
      <c r="AP72" s="5">
        <f>IF(A72=_zx5hja,_zk1wd3,0)</f>
        <v/>
      </c>
      <c r="AQ72" s="5">
        <f>IF(B72,E72-_zkfhzg-L72-N72-F72+AP72,0)</f>
        <v/>
      </c>
      <c r="AR72" s="5">
        <f>AQ72-AF72</f>
        <v/>
      </c>
      <c r="AS72" s="5">
        <f>IF(B72,E72-_zkfhzg-L72-N72-F72-R72-AO72+AP72-IF(AND(A72=_zx5hja,_z2al7i&gt;_zx5hja),T72,0),0)</f>
        <v/>
      </c>
      <c r="AT72" s="5">
        <f>AT71+AR72</f>
        <v/>
      </c>
      <c r="AU72" s="5">
        <f>IF(AND(AT71&lt;0,AT72&gt;=0,AR72&gt;0),1,0)</f>
        <v/>
      </c>
      <c r="AV72" s="5">
        <f>AR72/(1+_z1ltt4)^A72</f>
        <v/>
      </c>
      <c r="AW72" s="5">
        <f>AW71+AV72</f>
        <v/>
      </c>
      <c r="AX72" s="5">
        <f>IF(AND(AW71&lt;0,AW72&gt;=0,AV72&gt;0),1,0)</f>
        <v/>
      </c>
      <c r="AY72" s="5">
        <f>(_z39asj+_zy2ig8)*C72</f>
        <v/>
      </c>
      <c r="AZ72" s="5">
        <f>IF(B72,_zkfhzg+_zdd3mz+_z2y4dt+F72-AP72,0)</f>
        <v/>
      </c>
      <c r="BA72" s="5">
        <f>IF(AQ72=0,BA71,SIGN(AQ72))</f>
        <v/>
      </c>
      <c r="BB72" s="5">
        <f>BB71+IF(OR(AQ72=0,BA71=0),0,IF(SIGN(AQ72)&lt;&gt;BA71,1,0))</f>
        <v/>
      </c>
      <c r="BC72" s="5">
        <f>IF(AR72=0,BC71,SIGN(AR72))</f>
        <v/>
      </c>
      <c r="BD72" s="5">
        <f>BD71+IF(OR(AR72=0,BC71=0),0,IF(SIGN(AR72)&lt;&gt;BC71,1,0))</f>
        <v/>
      </c>
      <c r="BE72" s="5">
        <f>IF(AS72=0,BE71,SIGN(AS72))</f>
        <v/>
      </c>
      <c r="BF72" s="5">
        <f>BF71+IF(OR(AS72=0,BE71=0),0,IF(SIGN(AS72)&lt;&gt;BE71,1,0))</f>
        <v/>
      </c>
    </row>
    <row r="73">
      <c r="A73" s="5" t="n">
        <v>9</v>
      </c>
      <c r="B73" s="5">
        <f>AND(A73&gt;=1,A73&lt;=_zx5hja)</f>
        <v/>
      </c>
      <c r="C73" s="5">
        <f>IF(B73,(1-_zecdlb)^(A73-1),0)</f>
        <v/>
      </c>
      <c r="D73" s="5">
        <f>(_zgk3lw+_z7m6d8)*C73</f>
        <v/>
      </c>
      <c r="E73" s="5">
        <f>IF(B73,D73+_zmztd5-_zdd3mz-_z2y4dt,0)</f>
        <v/>
      </c>
      <c r="F73" s="5">
        <f>IF(AND(B73,A73=_ztfkfy),_z4p8is*_zh30bl,0)</f>
        <v/>
      </c>
      <c r="G73" s="5">
        <f>F73*0.13/(1+0.13)</f>
        <v/>
      </c>
      <c r="H73" s="5">
        <f>IF(B73,_z7m6d8*C73+_zz1w2z,0)</f>
        <v/>
      </c>
      <c r="I73" s="5">
        <f>H73/(1+0.13)</f>
        <v/>
      </c>
      <c r="J73" s="5">
        <f>H73-I73</f>
        <v/>
      </c>
      <c r="K73" s="5">
        <f>M72+G73</f>
        <v/>
      </c>
      <c r="L73" s="5">
        <f>MAX(0,J73-K73)</f>
        <v/>
      </c>
      <c r="M73" s="5">
        <f>MAX(0,K73-J73)</f>
        <v/>
      </c>
      <c r="N73" s="5">
        <f>L73*0.12</f>
        <v/>
      </c>
      <c r="O73" s="5">
        <f>E73-J73</f>
        <v/>
      </c>
      <c r="P73" s="5">
        <f>T72</f>
        <v/>
      </c>
      <c r="Q73" s="5">
        <f>IF(AND(B73,A73&lt;=_z2al7i),P73*_zks9j8,0)</f>
        <v/>
      </c>
      <c r="R73" s="5">
        <f>IF(AND(B73,A73&lt;=_z2al7i),_zgsfrl,0)</f>
        <v/>
      </c>
      <c r="S73" s="5">
        <f>R73-Q73</f>
        <v/>
      </c>
      <c r="T73" s="5">
        <f>MAX(0,P73-S73)</f>
        <v/>
      </c>
      <c r="U73" s="5">
        <f>IF(AND(B73,A73&lt;=_zupe8l),_z0jo6h,0)</f>
        <v/>
      </c>
      <c r="V73" s="5">
        <f>IF((_zlt415="是"),IF(A73&lt;=3,0,IF(A73&lt;=6,0.5,1)),1)</f>
        <v/>
      </c>
      <c r="W73" s="5">
        <f>_zrzkf6*V73+(1-_zrzkf6)</f>
        <v/>
      </c>
      <c r="X73" s="5">
        <f>IF(B73,O73-_zkfhzg-N73-U73-F73,0)</f>
        <v/>
      </c>
      <c r="Y73" s="5">
        <f>MAX(0,-X72)</f>
        <v/>
      </c>
      <c r="Z73" s="5">
        <f>MIN(Y72,MAX(0,(AC72+AB72+AA72+Z72+Y72)-AD72))</f>
        <v/>
      </c>
      <c r="AA73" s="5">
        <f>MIN(Z72,MAX(0,(AC72+AB72+AA72+Z72)-AD72))</f>
        <v/>
      </c>
      <c r="AB73" s="5">
        <f>MIN(AA72,MAX(0,(AC72+AB72+AA72)-AD72))</f>
        <v/>
      </c>
      <c r="AC73" s="5">
        <f>MIN(AB72,MAX(0,(AC72+AB72)-AD72))</f>
        <v/>
      </c>
      <c r="AD73" s="5">
        <f>MIN(MAX(X73,0),Y73+Z73+AA73+AB73+AC73)</f>
        <v/>
      </c>
      <c r="AE73" s="5">
        <f>MAX(X73,0)-AD73</f>
        <v/>
      </c>
      <c r="AF73" s="5">
        <f>AE73*_zk03a3*W73</f>
        <v/>
      </c>
      <c r="AG73" s="5">
        <f>IF(B73,X73-Q73,0)</f>
        <v/>
      </c>
      <c r="AH73" s="5">
        <f>MAX(0,-AG72)</f>
        <v/>
      </c>
      <c r="AI73" s="5">
        <f>MIN(AH72,MAX(0,(AL72+AK72+AJ72+AI72+AH72)-AM72))</f>
        <v/>
      </c>
      <c r="AJ73" s="5">
        <f>MIN(AI72,MAX(0,(AL72+AK72+AJ72+AI72)-AM72))</f>
        <v/>
      </c>
      <c r="AK73" s="5">
        <f>MIN(AJ72,MAX(0,(AL72+AK72+AJ72)-AM72))</f>
        <v/>
      </c>
      <c r="AL73" s="5">
        <f>MIN(AK72,MAX(0,(AL72+AK72)-AM72))</f>
        <v/>
      </c>
      <c r="AM73" s="5">
        <f>MIN(MAX(AG73,0),AH73+AI73+AJ73+AK73+AL73)</f>
        <v/>
      </c>
      <c r="AN73" s="5">
        <f>MAX(AG73,0)-AM73</f>
        <v/>
      </c>
      <c r="AO73" s="5">
        <f>AN73*_zk03a3*W73</f>
        <v/>
      </c>
      <c r="AP73" s="5">
        <f>IF(A73=_zx5hja,_zk1wd3,0)</f>
        <v/>
      </c>
      <c r="AQ73" s="5">
        <f>IF(B73,E73-_zkfhzg-L73-N73-F73+AP73,0)</f>
        <v/>
      </c>
      <c r="AR73" s="5">
        <f>AQ73-AF73</f>
        <v/>
      </c>
      <c r="AS73" s="5">
        <f>IF(B73,E73-_zkfhzg-L73-N73-F73-R73-AO73+AP73-IF(AND(A73=_zx5hja,_z2al7i&gt;_zx5hja),T73,0),0)</f>
        <v/>
      </c>
      <c r="AT73" s="5">
        <f>AT72+AR73</f>
        <v/>
      </c>
      <c r="AU73" s="5">
        <f>IF(AND(AT72&lt;0,AT73&gt;=0,AR73&gt;0),1,0)</f>
        <v/>
      </c>
      <c r="AV73" s="5">
        <f>AR73/(1+_z1ltt4)^A73</f>
        <v/>
      </c>
      <c r="AW73" s="5">
        <f>AW72+AV73</f>
        <v/>
      </c>
      <c r="AX73" s="5">
        <f>IF(AND(AW72&lt;0,AW73&gt;=0,AV73&gt;0),1,0)</f>
        <v/>
      </c>
      <c r="AY73" s="5">
        <f>(_z39asj+_zy2ig8)*C73</f>
        <v/>
      </c>
      <c r="AZ73" s="5">
        <f>IF(B73,_zkfhzg+_zdd3mz+_z2y4dt+F73-AP73,0)</f>
        <v/>
      </c>
      <c r="BA73" s="5">
        <f>IF(AQ73=0,BA72,SIGN(AQ73))</f>
        <v/>
      </c>
      <c r="BB73" s="5">
        <f>BB72+IF(OR(AQ73=0,BA72=0),0,IF(SIGN(AQ73)&lt;&gt;BA72,1,0))</f>
        <v/>
      </c>
      <c r="BC73" s="5">
        <f>IF(AR73=0,BC72,SIGN(AR73))</f>
        <v/>
      </c>
      <c r="BD73" s="5">
        <f>BD72+IF(OR(AR73=0,BC72=0),0,IF(SIGN(AR73)&lt;&gt;BC72,1,0))</f>
        <v/>
      </c>
      <c r="BE73" s="5">
        <f>IF(AS73=0,BE72,SIGN(AS73))</f>
        <v/>
      </c>
      <c r="BF73" s="5">
        <f>BF72+IF(OR(AS73=0,BE72=0),0,IF(SIGN(AS73)&lt;&gt;BE72,1,0))</f>
        <v/>
      </c>
    </row>
    <row r="74">
      <c r="A74" s="5" t="n">
        <v>10</v>
      </c>
      <c r="B74" s="5">
        <f>AND(A74&gt;=1,A74&lt;=_zx5hja)</f>
        <v/>
      </c>
      <c r="C74" s="5">
        <f>IF(B74,(1-_zecdlb)^(A74-1),0)</f>
        <v/>
      </c>
      <c r="D74" s="5">
        <f>(_zgk3lw+_z7m6d8)*C74</f>
        <v/>
      </c>
      <c r="E74" s="5">
        <f>IF(B74,D74+_zmztd5-_zdd3mz-_z2y4dt,0)</f>
        <v/>
      </c>
      <c r="F74" s="5">
        <f>IF(AND(B74,A74=_ztfkfy),_z4p8is*_zh30bl,0)</f>
        <v/>
      </c>
      <c r="G74" s="5">
        <f>F74*0.13/(1+0.13)</f>
        <v/>
      </c>
      <c r="H74" s="5">
        <f>IF(B74,_z7m6d8*C74+_zz1w2z,0)</f>
        <v/>
      </c>
      <c r="I74" s="5">
        <f>H74/(1+0.13)</f>
        <v/>
      </c>
      <c r="J74" s="5">
        <f>H74-I74</f>
        <v/>
      </c>
      <c r="K74" s="5">
        <f>M73+G74</f>
        <v/>
      </c>
      <c r="L74" s="5">
        <f>MAX(0,J74-K74)</f>
        <v/>
      </c>
      <c r="M74" s="5">
        <f>MAX(0,K74-J74)</f>
        <v/>
      </c>
      <c r="N74" s="5">
        <f>L74*0.12</f>
        <v/>
      </c>
      <c r="O74" s="5">
        <f>E74-J74</f>
        <v/>
      </c>
      <c r="P74" s="5">
        <f>T73</f>
        <v/>
      </c>
      <c r="Q74" s="5">
        <f>IF(AND(B74,A74&lt;=_z2al7i),P74*_zks9j8,0)</f>
        <v/>
      </c>
      <c r="R74" s="5">
        <f>IF(AND(B74,A74&lt;=_z2al7i),_zgsfrl,0)</f>
        <v/>
      </c>
      <c r="S74" s="5">
        <f>R74-Q74</f>
        <v/>
      </c>
      <c r="T74" s="5">
        <f>MAX(0,P74-S74)</f>
        <v/>
      </c>
      <c r="U74" s="5">
        <f>IF(AND(B74,A74&lt;=_zupe8l),_z0jo6h,0)</f>
        <v/>
      </c>
      <c r="V74" s="5">
        <f>IF((_zlt415="是"),IF(A74&lt;=3,0,IF(A74&lt;=6,0.5,1)),1)</f>
        <v/>
      </c>
      <c r="W74" s="5">
        <f>_zrzkf6*V74+(1-_zrzkf6)</f>
        <v/>
      </c>
      <c r="X74" s="5">
        <f>IF(B74,O74-_zkfhzg-N74-U74-F74,0)</f>
        <v/>
      </c>
      <c r="Y74" s="5">
        <f>MAX(0,-X73)</f>
        <v/>
      </c>
      <c r="Z74" s="5">
        <f>MIN(Y73,MAX(0,(AC73+AB73+AA73+Z73+Y73)-AD73))</f>
        <v/>
      </c>
      <c r="AA74" s="5">
        <f>MIN(Z73,MAX(0,(AC73+AB73+AA73+Z73)-AD73))</f>
        <v/>
      </c>
      <c r="AB74" s="5">
        <f>MIN(AA73,MAX(0,(AC73+AB73+AA73)-AD73))</f>
        <v/>
      </c>
      <c r="AC74" s="5">
        <f>MIN(AB73,MAX(0,(AC73+AB73)-AD73))</f>
        <v/>
      </c>
      <c r="AD74" s="5">
        <f>MIN(MAX(X74,0),Y74+Z74+AA74+AB74+AC74)</f>
        <v/>
      </c>
      <c r="AE74" s="5">
        <f>MAX(X74,0)-AD74</f>
        <v/>
      </c>
      <c r="AF74" s="5">
        <f>AE74*_zk03a3*W74</f>
        <v/>
      </c>
      <c r="AG74" s="5">
        <f>IF(B74,X74-Q74,0)</f>
        <v/>
      </c>
      <c r="AH74" s="5">
        <f>MAX(0,-AG73)</f>
        <v/>
      </c>
      <c r="AI74" s="5">
        <f>MIN(AH73,MAX(0,(AL73+AK73+AJ73+AI73+AH73)-AM73))</f>
        <v/>
      </c>
      <c r="AJ74" s="5">
        <f>MIN(AI73,MAX(0,(AL73+AK73+AJ73+AI73)-AM73))</f>
        <v/>
      </c>
      <c r="AK74" s="5">
        <f>MIN(AJ73,MAX(0,(AL73+AK73+AJ73)-AM73))</f>
        <v/>
      </c>
      <c r="AL74" s="5">
        <f>MIN(AK73,MAX(0,(AL73+AK73)-AM73))</f>
        <v/>
      </c>
      <c r="AM74" s="5">
        <f>MIN(MAX(AG74,0),AH74+AI74+AJ74+AK74+AL74)</f>
        <v/>
      </c>
      <c r="AN74" s="5">
        <f>MAX(AG74,0)-AM74</f>
        <v/>
      </c>
      <c r="AO74" s="5">
        <f>AN74*_zk03a3*W74</f>
        <v/>
      </c>
      <c r="AP74" s="5">
        <f>IF(A74=_zx5hja,_zk1wd3,0)</f>
        <v/>
      </c>
      <c r="AQ74" s="5">
        <f>IF(B74,E74-_zkfhzg-L74-N74-F74+AP74,0)</f>
        <v/>
      </c>
      <c r="AR74" s="5">
        <f>AQ74-AF74</f>
        <v/>
      </c>
      <c r="AS74" s="5">
        <f>IF(B74,E74-_zkfhzg-L74-N74-F74-R74-AO74+AP74-IF(AND(A74=_zx5hja,_z2al7i&gt;_zx5hja),T74,0),0)</f>
        <v/>
      </c>
      <c r="AT74" s="5">
        <f>AT73+AR74</f>
        <v/>
      </c>
      <c r="AU74" s="5">
        <f>IF(AND(AT73&lt;0,AT74&gt;=0,AR74&gt;0),1,0)</f>
        <v/>
      </c>
      <c r="AV74" s="5">
        <f>AR74/(1+_z1ltt4)^A74</f>
        <v/>
      </c>
      <c r="AW74" s="5">
        <f>AW73+AV74</f>
        <v/>
      </c>
      <c r="AX74" s="5">
        <f>IF(AND(AW73&lt;0,AW74&gt;=0,AV74&gt;0),1,0)</f>
        <v/>
      </c>
      <c r="AY74" s="5">
        <f>(_z39asj+_zy2ig8)*C74</f>
        <v/>
      </c>
      <c r="AZ74" s="5">
        <f>IF(B74,_zkfhzg+_zdd3mz+_z2y4dt+F74-AP74,0)</f>
        <v/>
      </c>
      <c r="BA74" s="5">
        <f>IF(AQ74=0,BA73,SIGN(AQ74))</f>
        <v/>
      </c>
      <c r="BB74" s="5">
        <f>BB73+IF(OR(AQ74=0,BA73=0),0,IF(SIGN(AQ74)&lt;&gt;BA73,1,0))</f>
        <v/>
      </c>
      <c r="BC74" s="5">
        <f>IF(AR74=0,BC73,SIGN(AR74))</f>
        <v/>
      </c>
      <c r="BD74" s="5">
        <f>BD73+IF(OR(AR74=0,BC73=0),0,IF(SIGN(AR74)&lt;&gt;BC73,1,0))</f>
        <v/>
      </c>
      <c r="BE74" s="5">
        <f>IF(AS74=0,BE73,SIGN(AS74))</f>
        <v/>
      </c>
      <c r="BF74" s="5">
        <f>BF73+IF(OR(AS74=0,BE73=0),0,IF(SIGN(AS74)&lt;&gt;BE73,1,0))</f>
        <v/>
      </c>
    </row>
    <row r="75">
      <c r="A75" s="5" t="n">
        <v>11</v>
      </c>
      <c r="B75" s="5">
        <f>AND(A75&gt;=1,A75&lt;=_zx5hja)</f>
        <v/>
      </c>
      <c r="C75" s="5">
        <f>IF(B75,(1-_zecdlb)^(A75-1),0)</f>
        <v/>
      </c>
      <c r="D75" s="5">
        <f>(_zgk3lw+_z7m6d8)*C75</f>
        <v/>
      </c>
      <c r="E75" s="5">
        <f>IF(B75,D75+_zmztd5-_zdd3mz-_z2y4dt,0)</f>
        <v/>
      </c>
      <c r="F75" s="5">
        <f>IF(AND(B75,A75=_ztfkfy),_z4p8is*_zh30bl,0)</f>
        <v/>
      </c>
      <c r="G75" s="5">
        <f>F75*0.13/(1+0.13)</f>
        <v/>
      </c>
      <c r="H75" s="5">
        <f>IF(B75,_z7m6d8*C75+_zz1w2z,0)</f>
        <v/>
      </c>
      <c r="I75" s="5">
        <f>H75/(1+0.13)</f>
        <v/>
      </c>
      <c r="J75" s="5">
        <f>H75-I75</f>
        <v/>
      </c>
      <c r="K75" s="5">
        <f>M74+G75</f>
        <v/>
      </c>
      <c r="L75" s="5">
        <f>MAX(0,J75-K75)</f>
        <v/>
      </c>
      <c r="M75" s="5">
        <f>MAX(0,K75-J75)</f>
        <v/>
      </c>
      <c r="N75" s="5">
        <f>L75*0.12</f>
        <v/>
      </c>
      <c r="O75" s="5">
        <f>E75-J75</f>
        <v/>
      </c>
      <c r="P75" s="5">
        <f>T74</f>
        <v/>
      </c>
      <c r="Q75" s="5">
        <f>IF(AND(B75,A75&lt;=_z2al7i),P75*_zks9j8,0)</f>
        <v/>
      </c>
      <c r="R75" s="5">
        <f>IF(AND(B75,A75&lt;=_z2al7i),_zgsfrl,0)</f>
        <v/>
      </c>
      <c r="S75" s="5">
        <f>R75-Q75</f>
        <v/>
      </c>
      <c r="T75" s="5">
        <f>MAX(0,P75-S75)</f>
        <v/>
      </c>
      <c r="U75" s="5">
        <f>IF(AND(B75,A75&lt;=_zupe8l),_z0jo6h,0)</f>
        <v/>
      </c>
      <c r="V75" s="5">
        <f>IF((_zlt415="是"),IF(A75&lt;=3,0,IF(A75&lt;=6,0.5,1)),1)</f>
        <v/>
      </c>
      <c r="W75" s="5">
        <f>_zrzkf6*V75+(1-_zrzkf6)</f>
        <v/>
      </c>
      <c r="X75" s="5">
        <f>IF(B75,O75-_zkfhzg-N75-U75-F75,0)</f>
        <v/>
      </c>
      <c r="Y75" s="5">
        <f>MAX(0,-X74)</f>
        <v/>
      </c>
      <c r="Z75" s="5">
        <f>MIN(Y74,MAX(0,(AC74+AB74+AA74+Z74+Y74)-AD74))</f>
        <v/>
      </c>
      <c r="AA75" s="5">
        <f>MIN(Z74,MAX(0,(AC74+AB74+AA74+Z74)-AD74))</f>
        <v/>
      </c>
      <c r="AB75" s="5">
        <f>MIN(AA74,MAX(0,(AC74+AB74+AA74)-AD74))</f>
        <v/>
      </c>
      <c r="AC75" s="5">
        <f>MIN(AB74,MAX(0,(AC74+AB74)-AD74))</f>
        <v/>
      </c>
      <c r="AD75" s="5">
        <f>MIN(MAX(X75,0),Y75+Z75+AA75+AB75+AC75)</f>
        <v/>
      </c>
      <c r="AE75" s="5">
        <f>MAX(X75,0)-AD75</f>
        <v/>
      </c>
      <c r="AF75" s="5">
        <f>AE75*_zk03a3*W75</f>
        <v/>
      </c>
      <c r="AG75" s="5">
        <f>IF(B75,X75-Q75,0)</f>
        <v/>
      </c>
      <c r="AH75" s="5">
        <f>MAX(0,-AG74)</f>
        <v/>
      </c>
      <c r="AI75" s="5">
        <f>MIN(AH74,MAX(0,(AL74+AK74+AJ74+AI74+AH74)-AM74))</f>
        <v/>
      </c>
      <c r="AJ75" s="5">
        <f>MIN(AI74,MAX(0,(AL74+AK74+AJ74+AI74)-AM74))</f>
        <v/>
      </c>
      <c r="AK75" s="5">
        <f>MIN(AJ74,MAX(0,(AL74+AK74+AJ74)-AM74))</f>
        <v/>
      </c>
      <c r="AL75" s="5">
        <f>MIN(AK74,MAX(0,(AL74+AK74)-AM74))</f>
        <v/>
      </c>
      <c r="AM75" s="5">
        <f>MIN(MAX(AG75,0),AH75+AI75+AJ75+AK75+AL75)</f>
        <v/>
      </c>
      <c r="AN75" s="5">
        <f>MAX(AG75,0)-AM75</f>
        <v/>
      </c>
      <c r="AO75" s="5">
        <f>AN75*_zk03a3*W75</f>
        <v/>
      </c>
      <c r="AP75" s="5">
        <f>IF(A75=_zx5hja,_zk1wd3,0)</f>
        <v/>
      </c>
      <c r="AQ75" s="5">
        <f>IF(B75,E75-_zkfhzg-L75-N75-F75+AP75,0)</f>
        <v/>
      </c>
      <c r="AR75" s="5">
        <f>AQ75-AF75</f>
        <v/>
      </c>
      <c r="AS75" s="5">
        <f>IF(B75,E75-_zkfhzg-L75-N75-F75-R75-AO75+AP75-IF(AND(A75=_zx5hja,_z2al7i&gt;_zx5hja),T75,0),0)</f>
        <v/>
      </c>
      <c r="AT75" s="5">
        <f>AT74+AR75</f>
        <v/>
      </c>
      <c r="AU75" s="5">
        <f>IF(AND(AT74&lt;0,AT75&gt;=0,AR75&gt;0),1,0)</f>
        <v/>
      </c>
      <c r="AV75" s="5">
        <f>AR75/(1+_z1ltt4)^A75</f>
        <v/>
      </c>
      <c r="AW75" s="5">
        <f>AW74+AV75</f>
        <v/>
      </c>
      <c r="AX75" s="5">
        <f>IF(AND(AW74&lt;0,AW75&gt;=0,AV75&gt;0),1,0)</f>
        <v/>
      </c>
      <c r="AY75" s="5">
        <f>(_z39asj+_zy2ig8)*C75</f>
        <v/>
      </c>
      <c r="AZ75" s="5">
        <f>IF(B75,_zkfhzg+_zdd3mz+_z2y4dt+F75-AP75,0)</f>
        <v/>
      </c>
      <c r="BA75" s="5">
        <f>IF(AQ75=0,BA74,SIGN(AQ75))</f>
        <v/>
      </c>
      <c r="BB75" s="5">
        <f>BB74+IF(OR(AQ75=0,BA74=0),0,IF(SIGN(AQ75)&lt;&gt;BA74,1,0))</f>
        <v/>
      </c>
      <c r="BC75" s="5">
        <f>IF(AR75=0,BC74,SIGN(AR75))</f>
        <v/>
      </c>
      <c r="BD75" s="5">
        <f>BD74+IF(OR(AR75=0,BC74=0),0,IF(SIGN(AR75)&lt;&gt;BC74,1,0))</f>
        <v/>
      </c>
      <c r="BE75" s="5">
        <f>IF(AS75=0,BE74,SIGN(AS75))</f>
        <v/>
      </c>
      <c r="BF75" s="5">
        <f>BF74+IF(OR(AS75=0,BE74=0),0,IF(SIGN(AS75)&lt;&gt;BE74,1,0))</f>
        <v/>
      </c>
    </row>
    <row r="76">
      <c r="A76" s="5" t="n">
        <v>12</v>
      </c>
      <c r="B76" s="5">
        <f>AND(A76&gt;=1,A76&lt;=_zx5hja)</f>
        <v/>
      </c>
      <c r="C76" s="5">
        <f>IF(B76,(1-_zecdlb)^(A76-1),0)</f>
        <v/>
      </c>
      <c r="D76" s="5">
        <f>(_zgk3lw+_z7m6d8)*C76</f>
        <v/>
      </c>
      <c r="E76" s="5">
        <f>IF(B76,D76+_zmztd5-_zdd3mz-_z2y4dt,0)</f>
        <v/>
      </c>
      <c r="F76" s="5">
        <f>IF(AND(B76,A76=_ztfkfy),_z4p8is*_zh30bl,0)</f>
        <v/>
      </c>
      <c r="G76" s="5">
        <f>F76*0.13/(1+0.13)</f>
        <v/>
      </c>
      <c r="H76" s="5">
        <f>IF(B76,_z7m6d8*C76+_zz1w2z,0)</f>
        <v/>
      </c>
      <c r="I76" s="5">
        <f>H76/(1+0.13)</f>
        <v/>
      </c>
      <c r="J76" s="5">
        <f>H76-I76</f>
        <v/>
      </c>
      <c r="K76" s="5">
        <f>M75+G76</f>
        <v/>
      </c>
      <c r="L76" s="5">
        <f>MAX(0,J76-K76)</f>
        <v/>
      </c>
      <c r="M76" s="5">
        <f>MAX(0,K76-J76)</f>
        <v/>
      </c>
      <c r="N76" s="5">
        <f>L76*0.12</f>
        <v/>
      </c>
      <c r="O76" s="5">
        <f>E76-J76</f>
        <v/>
      </c>
      <c r="P76" s="5">
        <f>T75</f>
        <v/>
      </c>
      <c r="Q76" s="5">
        <f>IF(AND(B76,A76&lt;=_z2al7i),P76*_zks9j8,0)</f>
        <v/>
      </c>
      <c r="R76" s="5">
        <f>IF(AND(B76,A76&lt;=_z2al7i),_zgsfrl,0)</f>
        <v/>
      </c>
      <c r="S76" s="5">
        <f>R76-Q76</f>
        <v/>
      </c>
      <c r="T76" s="5">
        <f>MAX(0,P76-S76)</f>
        <v/>
      </c>
      <c r="U76" s="5">
        <f>IF(AND(B76,A76&lt;=_zupe8l),_z0jo6h,0)</f>
        <v/>
      </c>
      <c r="V76" s="5">
        <f>IF((_zlt415="是"),IF(A76&lt;=3,0,IF(A76&lt;=6,0.5,1)),1)</f>
        <v/>
      </c>
      <c r="W76" s="5">
        <f>_zrzkf6*V76+(1-_zrzkf6)</f>
        <v/>
      </c>
      <c r="X76" s="5">
        <f>IF(B76,O76-_zkfhzg-N76-U76-F76,0)</f>
        <v/>
      </c>
      <c r="Y76" s="5">
        <f>MAX(0,-X75)</f>
        <v/>
      </c>
      <c r="Z76" s="5">
        <f>MIN(Y75,MAX(0,(AC75+AB75+AA75+Z75+Y75)-AD75))</f>
        <v/>
      </c>
      <c r="AA76" s="5">
        <f>MIN(Z75,MAX(0,(AC75+AB75+AA75+Z75)-AD75))</f>
        <v/>
      </c>
      <c r="AB76" s="5">
        <f>MIN(AA75,MAX(0,(AC75+AB75+AA75)-AD75))</f>
        <v/>
      </c>
      <c r="AC76" s="5">
        <f>MIN(AB75,MAX(0,(AC75+AB75)-AD75))</f>
        <v/>
      </c>
      <c r="AD76" s="5">
        <f>MIN(MAX(X76,0),Y76+Z76+AA76+AB76+AC76)</f>
        <v/>
      </c>
      <c r="AE76" s="5">
        <f>MAX(X76,0)-AD76</f>
        <v/>
      </c>
      <c r="AF76" s="5">
        <f>AE76*_zk03a3*W76</f>
        <v/>
      </c>
      <c r="AG76" s="5">
        <f>IF(B76,X76-Q76,0)</f>
        <v/>
      </c>
      <c r="AH76" s="5">
        <f>MAX(0,-AG75)</f>
        <v/>
      </c>
      <c r="AI76" s="5">
        <f>MIN(AH75,MAX(0,(AL75+AK75+AJ75+AI75+AH75)-AM75))</f>
        <v/>
      </c>
      <c r="AJ76" s="5">
        <f>MIN(AI75,MAX(0,(AL75+AK75+AJ75+AI75)-AM75))</f>
        <v/>
      </c>
      <c r="AK76" s="5">
        <f>MIN(AJ75,MAX(0,(AL75+AK75+AJ75)-AM75))</f>
        <v/>
      </c>
      <c r="AL76" s="5">
        <f>MIN(AK75,MAX(0,(AL75+AK75)-AM75))</f>
        <v/>
      </c>
      <c r="AM76" s="5">
        <f>MIN(MAX(AG76,0),AH76+AI76+AJ76+AK76+AL76)</f>
        <v/>
      </c>
      <c r="AN76" s="5">
        <f>MAX(AG76,0)-AM76</f>
        <v/>
      </c>
      <c r="AO76" s="5">
        <f>AN76*_zk03a3*W76</f>
        <v/>
      </c>
      <c r="AP76" s="5">
        <f>IF(A76=_zx5hja,_zk1wd3,0)</f>
        <v/>
      </c>
      <c r="AQ76" s="5">
        <f>IF(B76,E76-_zkfhzg-L76-N76-F76+AP76,0)</f>
        <v/>
      </c>
      <c r="AR76" s="5">
        <f>AQ76-AF76</f>
        <v/>
      </c>
      <c r="AS76" s="5">
        <f>IF(B76,E76-_zkfhzg-L76-N76-F76-R76-AO76+AP76-IF(AND(A76=_zx5hja,_z2al7i&gt;_zx5hja),T76,0),0)</f>
        <v/>
      </c>
      <c r="AT76" s="5">
        <f>AT75+AR76</f>
        <v/>
      </c>
      <c r="AU76" s="5">
        <f>IF(AND(AT75&lt;0,AT76&gt;=0,AR76&gt;0),1,0)</f>
        <v/>
      </c>
      <c r="AV76" s="5">
        <f>AR76/(1+_z1ltt4)^A76</f>
        <v/>
      </c>
      <c r="AW76" s="5">
        <f>AW75+AV76</f>
        <v/>
      </c>
      <c r="AX76" s="5">
        <f>IF(AND(AW75&lt;0,AW76&gt;=0,AV76&gt;0),1,0)</f>
        <v/>
      </c>
      <c r="AY76" s="5">
        <f>(_z39asj+_zy2ig8)*C76</f>
        <v/>
      </c>
      <c r="AZ76" s="5">
        <f>IF(B76,_zkfhzg+_zdd3mz+_z2y4dt+F76-AP76,0)</f>
        <v/>
      </c>
      <c r="BA76" s="5">
        <f>IF(AQ76=0,BA75,SIGN(AQ76))</f>
        <v/>
      </c>
      <c r="BB76" s="5">
        <f>BB75+IF(OR(AQ76=0,BA75=0),0,IF(SIGN(AQ76)&lt;&gt;BA75,1,0))</f>
        <v/>
      </c>
      <c r="BC76" s="5">
        <f>IF(AR76=0,BC75,SIGN(AR76))</f>
        <v/>
      </c>
      <c r="BD76" s="5">
        <f>BD75+IF(OR(AR76=0,BC75=0),0,IF(SIGN(AR76)&lt;&gt;BC75,1,0))</f>
        <v/>
      </c>
      <c r="BE76" s="5">
        <f>IF(AS76=0,BE75,SIGN(AS76))</f>
        <v/>
      </c>
      <c r="BF76" s="5">
        <f>BF75+IF(OR(AS76=0,BE75=0),0,IF(SIGN(AS76)&lt;&gt;BE75,1,0))</f>
        <v/>
      </c>
    </row>
    <row r="77">
      <c r="A77" s="5" t="n">
        <v>13</v>
      </c>
      <c r="B77" s="5">
        <f>AND(A77&gt;=1,A77&lt;=_zx5hja)</f>
        <v/>
      </c>
      <c r="C77" s="5">
        <f>IF(B77,(1-_zecdlb)^(A77-1),0)</f>
        <v/>
      </c>
      <c r="D77" s="5">
        <f>(_zgk3lw+_z7m6d8)*C77</f>
        <v/>
      </c>
      <c r="E77" s="5">
        <f>IF(B77,D77+_zmztd5-_zdd3mz-_z2y4dt,0)</f>
        <v/>
      </c>
      <c r="F77" s="5">
        <f>IF(AND(B77,A77=_ztfkfy),_z4p8is*_zh30bl,0)</f>
        <v/>
      </c>
      <c r="G77" s="5">
        <f>F77*0.13/(1+0.13)</f>
        <v/>
      </c>
      <c r="H77" s="5">
        <f>IF(B77,_z7m6d8*C77+_zz1w2z,0)</f>
        <v/>
      </c>
      <c r="I77" s="5">
        <f>H77/(1+0.13)</f>
        <v/>
      </c>
      <c r="J77" s="5">
        <f>H77-I77</f>
        <v/>
      </c>
      <c r="K77" s="5">
        <f>M76+G77</f>
        <v/>
      </c>
      <c r="L77" s="5">
        <f>MAX(0,J77-K77)</f>
        <v/>
      </c>
      <c r="M77" s="5">
        <f>MAX(0,K77-J77)</f>
        <v/>
      </c>
      <c r="N77" s="5">
        <f>L77*0.12</f>
        <v/>
      </c>
      <c r="O77" s="5">
        <f>E77-J77</f>
        <v/>
      </c>
      <c r="P77" s="5">
        <f>T76</f>
        <v/>
      </c>
      <c r="Q77" s="5">
        <f>IF(AND(B77,A77&lt;=_z2al7i),P77*_zks9j8,0)</f>
        <v/>
      </c>
      <c r="R77" s="5">
        <f>IF(AND(B77,A77&lt;=_z2al7i),_zgsfrl,0)</f>
        <v/>
      </c>
      <c r="S77" s="5">
        <f>R77-Q77</f>
        <v/>
      </c>
      <c r="T77" s="5">
        <f>MAX(0,P77-S77)</f>
        <v/>
      </c>
      <c r="U77" s="5">
        <f>IF(AND(B77,A77&lt;=_zupe8l),_z0jo6h,0)</f>
        <v/>
      </c>
      <c r="V77" s="5">
        <f>IF((_zlt415="是"),IF(A77&lt;=3,0,IF(A77&lt;=6,0.5,1)),1)</f>
        <v/>
      </c>
      <c r="W77" s="5">
        <f>_zrzkf6*V77+(1-_zrzkf6)</f>
        <v/>
      </c>
      <c r="X77" s="5">
        <f>IF(B77,O77-_zkfhzg-N77-U77-F77,0)</f>
        <v/>
      </c>
      <c r="Y77" s="5">
        <f>MAX(0,-X76)</f>
        <v/>
      </c>
      <c r="Z77" s="5">
        <f>MIN(Y76,MAX(0,(AC76+AB76+AA76+Z76+Y76)-AD76))</f>
        <v/>
      </c>
      <c r="AA77" s="5">
        <f>MIN(Z76,MAX(0,(AC76+AB76+AA76+Z76)-AD76))</f>
        <v/>
      </c>
      <c r="AB77" s="5">
        <f>MIN(AA76,MAX(0,(AC76+AB76+AA76)-AD76))</f>
        <v/>
      </c>
      <c r="AC77" s="5">
        <f>MIN(AB76,MAX(0,(AC76+AB76)-AD76))</f>
        <v/>
      </c>
      <c r="AD77" s="5">
        <f>MIN(MAX(X77,0),Y77+Z77+AA77+AB77+AC77)</f>
        <v/>
      </c>
      <c r="AE77" s="5">
        <f>MAX(X77,0)-AD77</f>
        <v/>
      </c>
      <c r="AF77" s="5">
        <f>AE77*_zk03a3*W77</f>
        <v/>
      </c>
      <c r="AG77" s="5">
        <f>IF(B77,X77-Q77,0)</f>
        <v/>
      </c>
      <c r="AH77" s="5">
        <f>MAX(0,-AG76)</f>
        <v/>
      </c>
      <c r="AI77" s="5">
        <f>MIN(AH76,MAX(0,(AL76+AK76+AJ76+AI76+AH76)-AM76))</f>
        <v/>
      </c>
      <c r="AJ77" s="5">
        <f>MIN(AI76,MAX(0,(AL76+AK76+AJ76+AI76)-AM76))</f>
        <v/>
      </c>
      <c r="AK77" s="5">
        <f>MIN(AJ76,MAX(0,(AL76+AK76+AJ76)-AM76))</f>
        <v/>
      </c>
      <c r="AL77" s="5">
        <f>MIN(AK76,MAX(0,(AL76+AK76)-AM76))</f>
        <v/>
      </c>
      <c r="AM77" s="5">
        <f>MIN(MAX(AG77,0),AH77+AI77+AJ77+AK77+AL77)</f>
        <v/>
      </c>
      <c r="AN77" s="5">
        <f>MAX(AG77,0)-AM77</f>
        <v/>
      </c>
      <c r="AO77" s="5">
        <f>AN77*_zk03a3*W77</f>
        <v/>
      </c>
      <c r="AP77" s="5">
        <f>IF(A77=_zx5hja,_zk1wd3,0)</f>
        <v/>
      </c>
      <c r="AQ77" s="5">
        <f>IF(B77,E77-_zkfhzg-L77-N77-F77+AP77,0)</f>
        <v/>
      </c>
      <c r="AR77" s="5">
        <f>AQ77-AF77</f>
        <v/>
      </c>
      <c r="AS77" s="5">
        <f>IF(B77,E77-_zkfhzg-L77-N77-F77-R77-AO77+AP77-IF(AND(A77=_zx5hja,_z2al7i&gt;_zx5hja),T77,0),0)</f>
        <v/>
      </c>
      <c r="AT77" s="5">
        <f>AT76+AR77</f>
        <v/>
      </c>
      <c r="AU77" s="5">
        <f>IF(AND(AT76&lt;0,AT77&gt;=0,AR77&gt;0),1,0)</f>
        <v/>
      </c>
      <c r="AV77" s="5">
        <f>AR77/(1+_z1ltt4)^A77</f>
        <v/>
      </c>
      <c r="AW77" s="5">
        <f>AW76+AV77</f>
        <v/>
      </c>
      <c r="AX77" s="5">
        <f>IF(AND(AW76&lt;0,AW77&gt;=0,AV77&gt;0),1,0)</f>
        <v/>
      </c>
      <c r="AY77" s="5">
        <f>(_z39asj+_zy2ig8)*C77</f>
        <v/>
      </c>
      <c r="AZ77" s="5">
        <f>IF(B77,_zkfhzg+_zdd3mz+_z2y4dt+F77-AP77,0)</f>
        <v/>
      </c>
      <c r="BA77" s="5">
        <f>IF(AQ77=0,BA76,SIGN(AQ77))</f>
        <v/>
      </c>
      <c r="BB77" s="5">
        <f>BB76+IF(OR(AQ77=0,BA76=0),0,IF(SIGN(AQ77)&lt;&gt;BA76,1,0))</f>
        <v/>
      </c>
      <c r="BC77" s="5">
        <f>IF(AR77=0,BC76,SIGN(AR77))</f>
        <v/>
      </c>
      <c r="BD77" s="5">
        <f>BD76+IF(OR(AR77=0,BC76=0),0,IF(SIGN(AR77)&lt;&gt;BC76,1,0))</f>
        <v/>
      </c>
      <c r="BE77" s="5">
        <f>IF(AS77=0,BE76,SIGN(AS77))</f>
        <v/>
      </c>
      <c r="BF77" s="5">
        <f>BF76+IF(OR(AS77=0,BE76=0),0,IF(SIGN(AS77)&lt;&gt;BE76,1,0))</f>
        <v/>
      </c>
    </row>
    <row r="78">
      <c r="A78" s="5" t="n">
        <v>14</v>
      </c>
      <c r="B78" s="5">
        <f>AND(A78&gt;=1,A78&lt;=_zx5hja)</f>
        <v/>
      </c>
      <c r="C78" s="5">
        <f>IF(B78,(1-_zecdlb)^(A78-1),0)</f>
        <v/>
      </c>
      <c r="D78" s="5">
        <f>(_zgk3lw+_z7m6d8)*C78</f>
        <v/>
      </c>
      <c r="E78" s="5">
        <f>IF(B78,D78+_zmztd5-_zdd3mz-_z2y4dt,0)</f>
        <v/>
      </c>
      <c r="F78" s="5">
        <f>IF(AND(B78,A78=_ztfkfy),_z4p8is*_zh30bl,0)</f>
        <v/>
      </c>
      <c r="G78" s="5">
        <f>F78*0.13/(1+0.13)</f>
        <v/>
      </c>
      <c r="H78" s="5">
        <f>IF(B78,_z7m6d8*C78+_zz1w2z,0)</f>
        <v/>
      </c>
      <c r="I78" s="5">
        <f>H78/(1+0.13)</f>
        <v/>
      </c>
      <c r="J78" s="5">
        <f>H78-I78</f>
        <v/>
      </c>
      <c r="K78" s="5">
        <f>M77+G78</f>
        <v/>
      </c>
      <c r="L78" s="5">
        <f>MAX(0,J78-K78)</f>
        <v/>
      </c>
      <c r="M78" s="5">
        <f>MAX(0,K78-J78)</f>
        <v/>
      </c>
      <c r="N78" s="5">
        <f>L78*0.12</f>
        <v/>
      </c>
      <c r="O78" s="5">
        <f>E78-J78</f>
        <v/>
      </c>
      <c r="P78" s="5">
        <f>T77</f>
        <v/>
      </c>
      <c r="Q78" s="5">
        <f>IF(AND(B78,A78&lt;=_z2al7i),P78*_zks9j8,0)</f>
        <v/>
      </c>
      <c r="R78" s="5">
        <f>IF(AND(B78,A78&lt;=_z2al7i),_zgsfrl,0)</f>
        <v/>
      </c>
      <c r="S78" s="5">
        <f>R78-Q78</f>
        <v/>
      </c>
      <c r="T78" s="5">
        <f>MAX(0,P78-S78)</f>
        <v/>
      </c>
      <c r="U78" s="5">
        <f>IF(AND(B78,A78&lt;=_zupe8l),_z0jo6h,0)</f>
        <v/>
      </c>
      <c r="V78" s="5">
        <f>IF((_zlt415="是"),IF(A78&lt;=3,0,IF(A78&lt;=6,0.5,1)),1)</f>
        <v/>
      </c>
      <c r="W78" s="5">
        <f>_zrzkf6*V78+(1-_zrzkf6)</f>
        <v/>
      </c>
      <c r="X78" s="5">
        <f>IF(B78,O78-_zkfhzg-N78-U78-F78,0)</f>
        <v/>
      </c>
      <c r="Y78" s="5">
        <f>MAX(0,-X77)</f>
        <v/>
      </c>
      <c r="Z78" s="5">
        <f>MIN(Y77,MAX(0,(AC77+AB77+AA77+Z77+Y77)-AD77))</f>
        <v/>
      </c>
      <c r="AA78" s="5">
        <f>MIN(Z77,MAX(0,(AC77+AB77+AA77+Z77)-AD77))</f>
        <v/>
      </c>
      <c r="AB78" s="5">
        <f>MIN(AA77,MAX(0,(AC77+AB77+AA77)-AD77))</f>
        <v/>
      </c>
      <c r="AC78" s="5">
        <f>MIN(AB77,MAX(0,(AC77+AB77)-AD77))</f>
        <v/>
      </c>
      <c r="AD78" s="5">
        <f>MIN(MAX(X78,0),Y78+Z78+AA78+AB78+AC78)</f>
        <v/>
      </c>
      <c r="AE78" s="5">
        <f>MAX(X78,0)-AD78</f>
        <v/>
      </c>
      <c r="AF78" s="5">
        <f>AE78*_zk03a3*W78</f>
        <v/>
      </c>
      <c r="AG78" s="5">
        <f>IF(B78,X78-Q78,0)</f>
        <v/>
      </c>
      <c r="AH78" s="5">
        <f>MAX(0,-AG77)</f>
        <v/>
      </c>
      <c r="AI78" s="5">
        <f>MIN(AH77,MAX(0,(AL77+AK77+AJ77+AI77+AH77)-AM77))</f>
        <v/>
      </c>
      <c r="AJ78" s="5">
        <f>MIN(AI77,MAX(0,(AL77+AK77+AJ77+AI77)-AM77))</f>
        <v/>
      </c>
      <c r="AK78" s="5">
        <f>MIN(AJ77,MAX(0,(AL77+AK77+AJ77)-AM77))</f>
        <v/>
      </c>
      <c r="AL78" s="5">
        <f>MIN(AK77,MAX(0,(AL77+AK77)-AM77))</f>
        <v/>
      </c>
      <c r="AM78" s="5">
        <f>MIN(MAX(AG78,0),AH78+AI78+AJ78+AK78+AL78)</f>
        <v/>
      </c>
      <c r="AN78" s="5">
        <f>MAX(AG78,0)-AM78</f>
        <v/>
      </c>
      <c r="AO78" s="5">
        <f>AN78*_zk03a3*W78</f>
        <v/>
      </c>
      <c r="AP78" s="5">
        <f>IF(A78=_zx5hja,_zk1wd3,0)</f>
        <v/>
      </c>
      <c r="AQ78" s="5">
        <f>IF(B78,E78-_zkfhzg-L78-N78-F78+AP78,0)</f>
        <v/>
      </c>
      <c r="AR78" s="5">
        <f>AQ78-AF78</f>
        <v/>
      </c>
      <c r="AS78" s="5">
        <f>IF(B78,E78-_zkfhzg-L78-N78-F78-R78-AO78+AP78-IF(AND(A78=_zx5hja,_z2al7i&gt;_zx5hja),T78,0),0)</f>
        <v/>
      </c>
      <c r="AT78" s="5">
        <f>AT77+AR78</f>
        <v/>
      </c>
      <c r="AU78" s="5">
        <f>IF(AND(AT77&lt;0,AT78&gt;=0,AR78&gt;0),1,0)</f>
        <v/>
      </c>
      <c r="AV78" s="5">
        <f>AR78/(1+_z1ltt4)^A78</f>
        <v/>
      </c>
      <c r="AW78" s="5">
        <f>AW77+AV78</f>
        <v/>
      </c>
      <c r="AX78" s="5">
        <f>IF(AND(AW77&lt;0,AW78&gt;=0,AV78&gt;0),1,0)</f>
        <v/>
      </c>
      <c r="AY78" s="5">
        <f>(_z39asj+_zy2ig8)*C78</f>
        <v/>
      </c>
      <c r="AZ78" s="5">
        <f>IF(B78,_zkfhzg+_zdd3mz+_z2y4dt+F78-AP78,0)</f>
        <v/>
      </c>
      <c r="BA78" s="5">
        <f>IF(AQ78=0,BA77,SIGN(AQ78))</f>
        <v/>
      </c>
      <c r="BB78" s="5">
        <f>BB77+IF(OR(AQ78=0,BA77=0),0,IF(SIGN(AQ78)&lt;&gt;BA77,1,0))</f>
        <v/>
      </c>
      <c r="BC78" s="5">
        <f>IF(AR78=0,BC77,SIGN(AR78))</f>
        <v/>
      </c>
      <c r="BD78" s="5">
        <f>BD77+IF(OR(AR78=0,BC77=0),0,IF(SIGN(AR78)&lt;&gt;BC77,1,0))</f>
        <v/>
      </c>
      <c r="BE78" s="5">
        <f>IF(AS78=0,BE77,SIGN(AS78))</f>
        <v/>
      </c>
      <c r="BF78" s="5">
        <f>BF77+IF(OR(AS78=0,BE77=0),0,IF(SIGN(AS78)&lt;&gt;BE77,1,0))</f>
        <v/>
      </c>
    </row>
    <row r="79">
      <c r="A79" s="5" t="n">
        <v>15</v>
      </c>
      <c r="B79" s="5">
        <f>AND(A79&gt;=1,A79&lt;=_zx5hja)</f>
        <v/>
      </c>
      <c r="C79" s="5">
        <f>IF(B79,(1-_zecdlb)^(A79-1),0)</f>
        <v/>
      </c>
      <c r="D79" s="5">
        <f>(_zgk3lw+_z7m6d8)*C79</f>
        <v/>
      </c>
      <c r="E79" s="5">
        <f>IF(B79,D79+_zmztd5-_zdd3mz-_z2y4dt,0)</f>
        <v/>
      </c>
      <c r="F79" s="5">
        <f>IF(AND(B79,A79=_ztfkfy),_z4p8is*_zh30bl,0)</f>
        <v/>
      </c>
      <c r="G79" s="5">
        <f>F79*0.13/(1+0.13)</f>
        <v/>
      </c>
      <c r="H79" s="5">
        <f>IF(B79,_z7m6d8*C79+_zz1w2z,0)</f>
        <v/>
      </c>
      <c r="I79" s="5">
        <f>H79/(1+0.13)</f>
        <v/>
      </c>
      <c r="J79" s="5">
        <f>H79-I79</f>
        <v/>
      </c>
      <c r="K79" s="5">
        <f>M78+G79</f>
        <v/>
      </c>
      <c r="L79" s="5">
        <f>MAX(0,J79-K79)</f>
        <v/>
      </c>
      <c r="M79" s="5">
        <f>MAX(0,K79-J79)</f>
        <v/>
      </c>
      <c r="N79" s="5">
        <f>L79*0.12</f>
        <v/>
      </c>
      <c r="O79" s="5">
        <f>E79-J79</f>
        <v/>
      </c>
      <c r="P79" s="5">
        <f>T78</f>
        <v/>
      </c>
      <c r="Q79" s="5">
        <f>IF(AND(B79,A79&lt;=_z2al7i),P79*_zks9j8,0)</f>
        <v/>
      </c>
      <c r="R79" s="5">
        <f>IF(AND(B79,A79&lt;=_z2al7i),_zgsfrl,0)</f>
        <v/>
      </c>
      <c r="S79" s="5">
        <f>R79-Q79</f>
        <v/>
      </c>
      <c r="T79" s="5">
        <f>MAX(0,P79-S79)</f>
        <v/>
      </c>
      <c r="U79" s="5">
        <f>IF(AND(B79,A79&lt;=_zupe8l),_z0jo6h,0)</f>
        <v/>
      </c>
      <c r="V79" s="5">
        <f>IF((_zlt415="是"),IF(A79&lt;=3,0,IF(A79&lt;=6,0.5,1)),1)</f>
        <v/>
      </c>
      <c r="W79" s="5">
        <f>_zrzkf6*V79+(1-_zrzkf6)</f>
        <v/>
      </c>
      <c r="X79" s="5">
        <f>IF(B79,O79-_zkfhzg-N79-U79-F79,0)</f>
        <v/>
      </c>
      <c r="Y79" s="5">
        <f>MAX(0,-X78)</f>
        <v/>
      </c>
      <c r="Z79" s="5">
        <f>MIN(Y78,MAX(0,(AC78+AB78+AA78+Z78+Y78)-AD78))</f>
        <v/>
      </c>
      <c r="AA79" s="5">
        <f>MIN(Z78,MAX(0,(AC78+AB78+AA78+Z78)-AD78))</f>
        <v/>
      </c>
      <c r="AB79" s="5">
        <f>MIN(AA78,MAX(0,(AC78+AB78+AA78)-AD78))</f>
        <v/>
      </c>
      <c r="AC79" s="5">
        <f>MIN(AB78,MAX(0,(AC78+AB78)-AD78))</f>
        <v/>
      </c>
      <c r="AD79" s="5">
        <f>MIN(MAX(X79,0),Y79+Z79+AA79+AB79+AC79)</f>
        <v/>
      </c>
      <c r="AE79" s="5">
        <f>MAX(X79,0)-AD79</f>
        <v/>
      </c>
      <c r="AF79" s="5">
        <f>AE79*_zk03a3*W79</f>
        <v/>
      </c>
      <c r="AG79" s="5">
        <f>IF(B79,X79-Q79,0)</f>
        <v/>
      </c>
      <c r="AH79" s="5">
        <f>MAX(0,-AG78)</f>
        <v/>
      </c>
      <c r="AI79" s="5">
        <f>MIN(AH78,MAX(0,(AL78+AK78+AJ78+AI78+AH78)-AM78))</f>
        <v/>
      </c>
      <c r="AJ79" s="5">
        <f>MIN(AI78,MAX(0,(AL78+AK78+AJ78+AI78)-AM78))</f>
        <v/>
      </c>
      <c r="AK79" s="5">
        <f>MIN(AJ78,MAX(0,(AL78+AK78+AJ78)-AM78))</f>
        <v/>
      </c>
      <c r="AL79" s="5">
        <f>MIN(AK78,MAX(0,(AL78+AK78)-AM78))</f>
        <v/>
      </c>
      <c r="AM79" s="5">
        <f>MIN(MAX(AG79,0),AH79+AI79+AJ79+AK79+AL79)</f>
        <v/>
      </c>
      <c r="AN79" s="5">
        <f>MAX(AG79,0)-AM79</f>
        <v/>
      </c>
      <c r="AO79" s="5">
        <f>AN79*_zk03a3*W79</f>
        <v/>
      </c>
      <c r="AP79" s="5">
        <f>IF(A79=_zx5hja,_zk1wd3,0)</f>
        <v/>
      </c>
      <c r="AQ79" s="5">
        <f>IF(B79,E79-_zkfhzg-L79-N79-F79+AP79,0)</f>
        <v/>
      </c>
      <c r="AR79" s="5">
        <f>AQ79-AF79</f>
        <v/>
      </c>
      <c r="AS79" s="5">
        <f>IF(B79,E79-_zkfhzg-L79-N79-F79-R79-AO79+AP79-IF(AND(A79=_zx5hja,_z2al7i&gt;_zx5hja),T79,0),0)</f>
        <v/>
      </c>
      <c r="AT79" s="5">
        <f>AT78+AR79</f>
        <v/>
      </c>
      <c r="AU79" s="5">
        <f>IF(AND(AT78&lt;0,AT79&gt;=0,AR79&gt;0),1,0)</f>
        <v/>
      </c>
      <c r="AV79" s="5">
        <f>AR79/(1+_z1ltt4)^A79</f>
        <v/>
      </c>
      <c r="AW79" s="5">
        <f>AW78+AV79</f>
        <v/>
      </c>
      <c r="AX79" s="5">
        <f>IF(AND(AW78&lt;0,AW79&gt;=0,AV79&gt;0),1,0)</f>
        <v/>
      </c>
      <c r="AY79" s="5">
        <f>(_z39asj+_zy2ig8)*C79</f>
        <v/>
      </c>
      <c r="AZ79" s="5">
        <f>IF(B79,_zkfhzg+_zdd3mz+_z2y4dt+F79-AP79,0)</f>
        <v/>
      </c>
      <c r="BA79" s="5">
        <f>IF(AQ79=0,BA78,SIGN(AQ79))</f>
        <v/>
      </c>
      <c r="BB79" s="5">
        <f>BB78+IF(OR(AQ79=0,BA78=0),0,IF(SIGN(AQ79)&lt;&gt;BA78,1,0))</f>
        <v/>
      </c>
      <c r="BC79" s="5">
        <f>IF(AR79=0,BC78,SIGN(AR79))</f>
        <v/>
      </c>
      <c r="BD79" s="5">
        <f>BD78+IF(OR(AR79=0,BC78=0),0,IF(SIGN(AR79)&lt;&gt;BC78,1,0))</f>
        <v/>
      </c>
      <c r="BE79" s="5">
        <f>IF(AS79=0,BE78,SIGN(AS79))</f>
        <v/>
      </c>
      <c r="BF79" s="5">
        <f>BF78+IF(OR(AS79=0,BE78=0),0,IF(SIGN(AS79)&lt;&gt;BE78,1,0))</f>
        <v/>
      </c>
    </row>
    <row r="80">
      <c r="A80" s="5" t="n">
        <v>16</v>
      </c>
      <c r="B80" s="5">
        <f>AND(A80&gt;=1,A80&lt;=_zx5hja)</f>
        <v/>
      </c>
      <c r="C80" s="5">
        <f>IF(B80,(1-_zecdlb)^(A80-1),0)</f>
        <v/>
      </c>
      <c r="D80" s="5">
        <f>(_zgk3lw+_z7m6d8)*C80</f>
        <v/>
      </c>
      <c r="E80" s="5">
        <f>IF(B80,D80+_zmztd5-_zdd3mz-_z2y4dt,0)</f>
        <v/>
      </c>
      <c r="F80" s="5">
        <f>IF(AND(B80,A80=_ztfkfy),_z4p8is*_zh30bl,0)</f>
        <v/>
      </c>
      <c r="G80" s="5">
        <f>F80*0.13/(1+0.13)</f>
        <v/>
      </c>
      <c r="H80" s="5">
        <f>IF(B80,_z7m6d8*C80+_zz1w2z,0)</f>
        <v/>
      </c>
      <c r="I80" s="5">
        <f>H80/(1+0.13)</f>
        <v/>
      </c>
      <c r="J80" s="5">
        <f>H80-I80</f>
        <v/>
      </c>
      <c r="K80" s="5">
        <f>M79+G80</f>
        <v/>
      </c>
      <c r="L80" s="5">
        <f>MAX(0,J80-K80)</f>
        <v/>
      </c>
      <c r="M80" s="5">
        <f>MAX(0,K80-J80)</f>
        <v/>
      </c>
      <c r="N80" s="5">
        <f>L80*0.12</f>
        <v/>
      </c>
      <c r="O80" s="5">
        <f>E80-J80</f>
        <v/>
      </c>
      <c r="P80" s="5">
        <f>T79</f>
        <v/>
      </c>
      <c r="Q80" s="5">
        <f>IF(AND(B80,A80&lt;=_z2al7i),P80*_zks9j8,0)</f>
        <v/>
      </c>
      <c r="R80" s="5">
        <f>IF(AND(B80,A80&lt;=_z2al7i),_zgsfrl,0)</f>
        <v/>
      </c>
      <c r="S80" s="5">
        <f>R80-Q80</f>
        <v/>
      </c>
      <c r="T80" s="5">
        <f>MAX(0,P80-S80)</f>
        <v/>
      </c>
      <c r="U80" s="5">
        <f>IF(AND(B80,A80&lt;=_zupe8l),_z0jo6h,0)</f>
        <v/>
      </c>
      <c r="V80" s="5">
        <f>IF((_zlt415="是"),IF(A80&lt;=3,0,IF(A80&lt;=6,0.5,1)),1)</f>
        <v/>
      </c>
      <c r="W80" s="5">
        <f>_zrzkf6*V80+(1-_zrzkf6)</f>
        <v/>
      </c>
      <c r="X80" s="5">
        <f>IF(B80,O80-_zkfhzg-N80-U80-F80,0)</f>
        <v/>
      </c>
      <c r="Y80" s="5">
        <f>MAX(0,-X79)</f>
        <v/>
      </c>
      <c r="Z80" s="5">
        <f>MIN(Y79,MAX(0,(AC79+AB79+AA79+Z79+Y79)-AD79))</f>
        <v/>
      </c>
      <c r="AA80" s="5">
        <f>MIN(Z79,MAX(0,(AC79+AB79+AA79+Z79)-AD79))</f>
        <v/>
      </c>
      <c r="AB80" s="5">
        <f>MIN(AA79,MAX(0,(AC79+AB79+AA79)-AD79))</f>
        <v/>
      </c>
      <c r="AC80" s="5">
        <f>MIN(AB79,MAX(0,(AC79+AB79)-AD79))</f>
        <v/>
      </c>
      <c r="AD80" s="5">
        <f>MIN(MAX(X80,0),Y80+Z80+AA80+AB80+AC80)</f>
        <v/>
      </c>
      <c r="AE80" s="5">
        <f>MAX(X80,0)-AD80</f>
        <v/>
      </c>
      <c r="AF80" s="5">
        <f>AE80*_zk03a3*W80</f>
        <v/>
      </c>
      <c r="AG80" s="5">
        <f>IF(B80,X80-Q80,0)</f>
        <v/>
      </c>
      <c r="AH80" s="5">
        <f>MAX(0,-AG79)</f>
        <v/>
      </c>
      <c r="AI80" s="5">
        <f>MIN(AH79,MAX(0,(AL79+AK79+AJ79+AI79+AH79)-AM79))</f>
        <v/>
      </c>
      <c r="AJ80" s="5">
        <f>MIN(AI79,MAX(0,(AL79+AK79+AJ79+AI79)-AM79))</f>
        <v/>
      </c>
      <c r="AK80" s="5">
        <f>MIN(AJ79,MAX(0,(AL79+AK79+AJ79)-AM79))</f>
        <v/>
      </c>
      <c r="AL80" s="5">
        <f>MIN(AK79,MAX(0,(AL79+AK79)-AM79))</f>
        <v/>
      </c>
      <c r="AM80" s="5">
        <f>MIN(MAX(AG80,0),AH80+AI80+AJ80+AK80+AL80)</f>
        <v/>
      </c>
      <c r="AN80" s="5">
        <f>MAX(AG80,0)-AM80</f>
        <v/>
      </c>
      <c r="AO80" s="5">
        <f>AN80*_zk03a3*W80</f>
        <v/>
      </c>
      <c r="AP80" s="5">
        <f>IF(A80=_zx5hja,_zk1wd3,0)</f>
        <v/>
      </c>
      <c r="AQ80" s="5">
        <f>IF(B80,E80-_zkfhzg-L80-N80-F80+AP80,0)</f>
        <v/>
      </c>
      <c r="AR80" s="5">
        <f>AQ80-AF80</f>
        <v/>
      </c>
      <c r="AS80" s="5">
        <f>IF(B80,E80-_zkfhzg-L80-N80-F80-R80-AO80+AP80-IF(AND(A80=_zx5hja,_z2al7i&gt;_zx5hja),T80,0),0)</f>
        <v/>
      </c>
      <c r="AT80" s="5">
        <f>AT79+AR80</f>
        <v/>
      </c>
      <c r="AU80" s="5">
        <f>IF(AND(AT79&lt;0,AT80&gt;=0,AR80&gt;0),1,0)</f>
        <v/>
      </c>
      <c r="AV80" s="5">
        <f>AR80/(1+_z1ltt4)^A80</f>
        <v/>
      </c>
      <c r="AW80" s="5">
        <f>AW79+AV80</f>
        <v/>
      </c>
      <c r="AX80" s="5">
        <f>IF(AND(AW79&lt;0,AW80&gt;=0,AV80&gt;0),1,0)</f>
        <v/>
      </c>
      <c r="AY80" s="5">
        <f>(_z39asj+_zy2ig8)*C80</f>
        <v/>
      </c>
      <c r="AZ80" s="5">
        <f>IF(B80,_zkfhzg+_zdd3mz+_z2y4dt+F80-AP80,0)</f>
        <v/>
      </c>
      <c r="BA80" s="5">
        <f>IF(AQ80=0,BA79,SIGN(AQ80))</f>
        <v/>
      </c>
      <c r="BB80" s="5">
        <f>BB79+IF(OR(AQ80=0,BA79=0),0,IF(SIGN(AQ80)&lt;&gt;BA79,1,0))</f>
        <v/>
      </c>
      <c r="BC80" s="5">
        <f>IF(AR80=0,BC79,SIGN(AR80))</f>
        <v/>
      </c>
      <c r="BD80" s="5">
        <f>BD79+IF(OR(AR80=0,BC79=0),0,IF(SIGN(AR80)&lt;&gt;BC79,1,0))</f>
        <v/>
      </c>
      <c r="BE80" s="5">
        <f>IF(AS80=0,BE79,SIGN(AS80))</f>
        <v/>
      </c>
      <c r="BF80" s="5">
        <f>BF79+IF(OR(AS80=0,BE79=0),0,IF(SIGN(AS80)&lt;&gt;BE79,1,0))</f>
        <v/>
      </c>
    </row>
    <row r="81">
      <c r="A81" s="5" t="n">
        <v>17</v>
      </c>
      <c r="B81" s="5">
        <f>AND(A81&gt;=1,A81&lt;=_zx5hja)</f>
        <v/>
      </c>
      <c r="C81" s="5">
        <f>IF(B81,(1-_zecdlb)^(A81-1),0)</f>
        <v/>
      </c>
      <c r="D81" s="5">
        <f>(_zgk3lw+_z7m6d8)*C81</f>
        <v/>
      </c>
      <c r="E81" s="5">
        <f>IF(B81,D81+_zmztd5-_zdd3mz-_z2y4dt,0)</f>
        <v/>
      </c>
      <c r="F81" s="5">
        <f>IF(AND(B81,A81=_ztfkfy),_z4p8is*_zh30bl,0)</f>
        <v/>
      </c>
      <c r="G81" s="5">
        <f>F81*0.13/(1+0.13)</f>
        <v/>
      </c>
      <c r="H81" s="5">
        <f>IF(B81,_z7m6d8*C81+_zz1w2z,0)</f>
        <v/>
      </c>
      <c r="I81" s="5">
        <f>H81/(1+0.13)</f>
        <v/>
      </c>
      <c r="J81" s="5">
        <f>H81-I81</f>
        <v/>
      </c>
      <c r="K81" s="5">
        <f>M80+G81</f>
        <v/>
      </c>
      <c r="L81" s="5">
        <f>MAX(0,J81-K81)</f>
        <v/>
      </c>
      <c r="M81" s="5">
        <f>MAX(0,K81-J81)</f>
        <v/>
      </c>
      <c r="N81" s="5">
        <f>L81*0.12</f>
        <v/>
      </c>
      <c r="O81" s="5">
        <f>E81-J81</f>
        <v/>
      </c>
      <c r="P81" s="5">
        <f>T80</f>
        <v/>
      </c>
      <c r="Q81" s="5">
        <f>IF(AND(B81,A81&lt;=_z2al7i),P81*_zks9j8,0)</f>
        <v/>
      </c>
      <c r="R81" s="5">
        <f>IF(AND(B81,A81&lt;=_z2al7i),_zgsfrl,0)</f>
        <v/>
      </c>
      <c r="S81" s="5">
        <f>R81-Q81</f>
        <v/>
      </c>
      <c r="T81" s="5">
        <f>MAX(0,P81-S81)</f>
        <v/>
      </c>
      <c r="U81" s="5">
        <f>IF(AND(B81,A81&lt;=_zupe8l),_z0jo6h,0)</f>
        <v/>
      </c>
      <c r="V81" s="5">
        <f>IF((_zlt415="是"),IF(A81&lt;=3,0,IF(A81&lt;=6,0.5,1)),1)</f>
        <v/>
      </c>
      <c r="W81" s="5">
        <f>_zrzkf6*V81+(1-_zrzkf6)</f>
        <v/>
      </c>
      <c r="X81" s="5">
        <f>IF(B81,O81-_zkfhzg-N81-U81-F81,0)</f>
        <v/>
      </c>
      <c r="Y81" s="5">
        <f>MAX(0,-X80)</f>
        <v/>
      </c>
      <c r="Z81" s="5">
        <f>MIN(Y80,MAX(0,(AC80+AB80+AA80+Z80+Y80)-AD80))</f>
        <v/>
      </c>
      <c r="AA81" s="5">
        <f>MIN(Z80,MAX(0,(AC80+AB80+AA80+Z80)-AD80))</f>
        <v/>
      </c>
      <c r="AB81" s="5">
        <f>MIN(AA80,MAX(0,(AC80+AB80+AA80)-AD80))</f>
        <v/>
      </c>
      <c r="AC81" s="5">
        <f>MIN(AB80,MAX(0,(AC80+AB80)-AD80))</f>
        <v/>
      </c>
      <c r="AD81" s="5">
        <f>MIN(MAX(X81,0),Y81+Z81+AA81+AB81+AC81)</f>
        <v/>
      </c>
      <c r="AE81" s="5">
        <f>MAX(X81,0)-AD81</f>
        <v/>
      </c>
      <c r="AF81" s="5">
        <f>AE81*_zk03a3*W81</f>
        <v/>
      </c>
      <c r="AG81" s="5">
        <f>IF(B81,X81-Q81,0)</f>
        <v/>
      </c>
      <c r="AH81" s="5">
        <f>MAX(0,-AG80)</f>
        <v/>
      </c>
      <c r="AI81" s="5">
        <f>MIN(AH80,MAX(0,(AL80+AK80+AJ80+AI80+AH80)-AM80))</f>
        <v/>
      </c>
      <c r="AJ81" s="5">
        <f>MIN(AI80,MAX(0,(AL80+AK80+AJ80+AI80)-AM80))</f>
        <v/>
      </c>
      <c r="AK81" s="5">
        <f>MIN(AJ80,MAX(0,(AL80+AK80+AJ80)-AM80))</f>
        <v/>
      </c>
      <c r="AL81" s="5">
        <f>MIN(AK80,MAX(0,(AL80+AK80)-AM80))</f>
        <v/>
      </c>
      <c r="AM81" s="5">
        <f>MIN(MAX(AG81,0),AH81+AI81+AJ81+AK81+AL81)</f>
        <v/>
      </c>
      <c r="AN81" s="5">
        <f>MAX(AG81,0)-AM81</f>
        <v/>
      </c>
      <c r="AO81" s="5">
        <f>AN81*_zk03a3*W81</f>
        <v/>
      </c>
      <c r="AP81" s="5">
        <f>IF(A81=_zx5hja,_zk1wd3,0)</f>
        <v/>
      </c>
      <c r="AQ81" s="5">
        <f>IF(B81,E81-_zkfhzg-L81-N81-F81+AP81,0)</f>
        <v/>
      </c>
      <c r="AR81" s="5">
        <f>AQ81-AF81</f>
        <v/>
      </c>
      <c r="AS81" s="5">
        <f>IF(B81,E81-_zkfhzg-L81-N81-F81-R81-AO81+AP81-IF(AND(A81=_zx5hja,_z2al7i&gt;_zx5hja),T81,0),0)</f>
        <v/>
      </c>
      <c r="AT81" s="5">
        <f>AT80+AR81</f>
        <v/>
      </c>
      <c r="AU81" s="5">
        <f>IF(AND(AT80&lt;0,AT81&gt;=0,AR81&gt;0),1,0)</f>
        <v/>
      </c>
      <c r="AV81" s="5">
        <f>AR81/(1+_z1ltt4)^A81</f>
        <v/>
      </c>
      <c r="AW81" s="5">
        <f>AW80+AV81</f>
        <v/>
      </c>
      <c r="AX81" s="5">
        <f>IF(AND(AW80&lt;0,AW81&gt;=0,AV81&gt;0),1,0)</f>
        <v/>
      </c>
      <c r="AY81" s="5">
        <f>(_z39asj+_zy2ig8)*C81</f>
        <v/>
      </c>
      <c r="AZ81" s="5">
        <f>IF(B81,_zkfhzg+_zdd3mz+_z2y4dt+F81-AP81,0)</f>
        <v/>
      </c>
      <c r="BA81" s="5">
        <f>IF(AQ81=0,BA80,SIGN(AQ81))</f>
        <v/>
      </c>
      <c r="BB81" s="5">
        <f>BB80+IF(OR(AQ81=0,BA80=0),0,IF(SIGN(AQ81)&lt;&gt;BA80,1,0))</f>
        <v/>
      </c>
      <c r="BC81" s="5">
        <f>IF(AR81=0,BC80,SIGN(AR81))</f>
        <v/>
      </c>
      <c r="BD81" s="5">
        <f>BD80+IF(OR(AR81=0,BC80=0),0,IF(SIGN(AR81)&lt;&gt;BC80,1,0))</f>
        <v/>
      </c>
      <c r="BE81" s="5">
        <f>IF(AS81=0,BE80,SIGN(AS81))</f>
        <v/>
      </c>
      <c r="BF81" s="5">
        <f>BF80+IF(OR(AS81=0,BE80=0),0,IF(SIGN(AS81)&lt;&gt;BE80,1,0))</f>
        <v/>
      </c>
    </row>
    <row r="82">
      <c r="A82" s="5" t="n">
        <v>18</v>
      </c>
      <c r="B82" s="5">
        <f>AND(A82&gt;=1,A82&lt;=_zx5hja)</f>
        <v/>
      </c>
      <c r="C82" s="5">
        <f>IF(B82,(1-_zecdlb)^(A82-1),0)</f>
        <v/>
      </c>
      <c r="D82" s="5">
        <f>(_zgk3lw+_z7m6d8)*C82</f>
        <v/>
      </c>
      <c r="E82" s="5">
        <f>IF(B82,D82+_zmztd5-_zdd3mz-_z2y4dt,0)</f>
        <v/>
      </c>
      <c r="F82" s="5">
        <f>IF(AND(B82,A82=_ztfkfy),_z4p8is*_zh30bl,0)</f>
        <v/>
      </c>
      <c r="G82" s="5">
        <f>F82*0.13/(1+0.13)</f>
        <v/>
      </c>
      <c r="H82" s="5">
        <f>IF(B82,_z7m6d8*C82+_zz1w2z,0)</f>
        <v/>
      </c>
      <c r="I82" s="5">
        <f>H82/(1+0.13)</f>
        <v/>
      </c>
      <c r="J82" s="5">
        <f>H82-I82</f>
        <v/>
      </c>
      <c r="K82" s="5">
        <f>M81+G82</f>
        <v/>
      </c>
      <c r="L82" s="5">
        <f>MAX(0,J82-K82)</f>
        <v/>
      </c>
      <c r="M82" s="5">
        <f>MAX(0,K82-J82)</f>
        <v/>
      </c>
      <c r="N82" s="5">
        <f>L82*0.12</f>
        <v/>
      </c>
      <c r="O82" s="5">
        <f>E82-J82</f>
        <v/>
      </c>
      <c r="P82" s="5">
        <f>T81</f>
        <v/>
      </c>
      <c r="Q82" s="5">
        <f>IF(AND(B82,A82&lt;=_z2al7i),P82*_zks9j8,0)</f>
        <v/>
      </c>
      <c r="R82" s="5">
        <f>IF(AND(B82,A82&lt;=_z2al7i),_zgsfrl,0)</f>
        <v/>
      </c>
      <c r="S82" s="5">
        <f>R82-Q82</f>
        <v/>
      </c>
      <c r="T82" s="5">
        <f>MAX(0,P82-S82)</f>
        <v/>
      </c>
      <c r="U82" s="5">
        <f>IF(AND(B82,A82&lt;=_zupe8l),_z0jo6h,0)</f>
        <v/>
      </c>
      <c r="V82" s="5">
        <f>IF((_zlt415="是"),IF(A82&lt;=3,0,IF(A82&lt;=6,0.5,1)),1)</f>
        <v/>
      </c>
      <c r="W82" s="5">
        <f>_zrzkf6*V82+(1-_zrzkf6)</f>
        <v/>
      </c>
      <c r="X82" s="5">
        <f>IF(B82,O82-_zkfhzg-N82-U82-F82,0)</f>
        <v/>
      </c>
      <c r="Y82" s="5">
        <f>MAX(0,-X81)</f>
        <v/>
      </c>
      <c r="Z82" s="5">
        <f>MIN(Y81,MAX(0,(AC81+AB81+AA81+Z81+Y81)-AD81))</f>
        <v/>
      </c>
      <c r="AA82" s="5">
        <f>MIN(Z81,MAX(0,(AC81+AB81+AA81+Z81)-AD81))</f>
        <v/>
      </c>
      <c r="AB82" s="5">
        <f>MIN(AA81,MAX(0,(AC81+AB81+AA81)-AD81))</f>
        <v/>
      </c>
      <c r="AC82" s="5">
        <f>MIN(AB81,MAX(0,(AC81+AB81)-AD81))</f>
        <v/>
      </c>
      <c r="AD82" s="5">
        <f>MIN(MAX(X82,0),Y82+Z82+AA82+AB82+AC82)</f>
        <v/>
      </c>
      <c r="AE82" s="5">
        <f>MAX(X82,0)-AD82</f>
        <v/>
      </c>
      <c r="AF82" s="5">
        <f>AE82*_zk03a3*W82</f>
        <v/>
      </c>
      <c r="AG82" s="5">
        <f>IF(B82,X82-Q82,0)</f>
        <v/>
      </c>
      <c r="AH82" s="5">
        <f>MAX(0,-AG81)</f>
        <v/>
      </c>
      <c r="AI82" s="5">
        <f>MIN(AH81,MAX(0,(AL81+AK81+AJ81+AI81+AH81)-AM81))</f>
        <v/>
      </c>
      <c r="AJ82" s="5">
        <f>MIN(AI81,MAX(0,(AL81+AK81+AJ81+AI81)-AM81))</f>
        <v/>
      </c>
      <c r="AK82" s="5">
        <f>MIN(AJ81,MAX(0,(AL81+AK81+AJ81)-AM81))</f>
        <v/>
      </c>
      <c r="AL82" s="5">
        <f>MIN(AK81,MAX(0,(AL81+AK81)-AM81))</f>
        <v/>
      </c>
      <c r="AM82" s="5">
        <f>MIN(MAX(AG82,0),AH82+AI82+AJ82+AK82+AL82)</f>
        <v/>
      </c>
      <c r="AN82" s="5">
        <f>MAX(AG82,0)-AM82</f>
        <v/>
      </c>
      <c r="AO82" s="5">
        <f>AN82*_zk03a3*W82</f>
        <v/>
      </c>
      <c r="AP82" s="5">
        <f>IF(A82=_zx5hja,_zk1wd3,0)</f>
        <v/>
      </c>
      <c r="AQ82" s="5">
        <f>IF(B82,E82-_zkfhzg-L82-N82-F82+AP82,0)</f>
        <v/>
      </c>
      <c r="AR82" s="5">
        <f>AQ82-AF82</f>
        <v/>
      </c>
      <c r="AS82" s="5">
        <f>IF(B82,E82-_zkfhzg-L82-N82-F82-R82-AO82+AP82-IF(AND(A82=_zx5hja,_z2al7i&gt;_zx5hja),T82,0),0)</f>
        <v/>
      </c>
      <c r="AT82" s="5">
        <f>AT81+AR82</f>
        <v/>
      </c>
      <c r="AU82" s="5">
        <f>IF(AND(AT81&lt;0,AT82&gt;=0,AR82&gt;0),1,0)</f>
        <v/>
      </c>
      <c r="AV82" s="5">
        <f>AR82/(1+_z1ltt4)^A82</f>
        <v/>
      </c>
      <c r="AW82" s="5">
        <f>AW81+AV82</f>
        <v/>
      </c>
      <c r="AX82" s="5">
        <f>IF(AND(AW81&lt;0,AW82&gt;=0,AV82&gt;0),1,0)</f>
        <v/>
      </c>
      <c r="AY82" s="5">
        <f>(_z39asj+_zy2ig8)*C82</f>
        <v/>
      </c>
      <c r="AZ82" s="5">
        <f>IF(B82,_zkfhzg+_zdd3mz+_z2y4dt+F82-AP82,0)</f>
        <v/>
      </c>
      <c r="BA82" s="5">
        <f>IF(AQ82=0,BA81,SIGN(AQ82))</f>
        <v/>
      </c>
      <c r="BB82" s="5">
        <f>BB81+IF(OR(AQ82=0,BA81=0),0,IF(SIGN(AQ82)&lt;&gt;BA81,1,0))</f>
        <v/>
      </c>
      <c r="BC82" s="5">
        <f>IF(AR82=0,BC81,SIGN(AR82))</f>
        <v/>
      </c>
      <c r="BD82" s="5">
        <f>BD81+IF(OR(AR82=0,BC81=0),0,IF(SIGN(AR82)&lt;&gt;BC81,1,0))</f>
        <v/>
      </c>
      <c r="BE82" s="5">
        <f>IF(AS82=0,BE81,SIGN(AS82))</f>
        <v/>
      </c>
      <c r="BF82" s="5">
        <f>BF81+IF(OR(AS82=0,BE81=0),0,IF(SIGN(AS82)&lt;&gt;BE81,1,0))</f>
        <v/>
      </c>
    </row>
    <row r="83">
      <c r="A83" s="5" t="n">
        <v>19</v>
      </c>
      <c r="B83" s="5">
        <f>AND(A83&gt;=1,A83&lt;=_zx5hja)</f>
        <v/>
      </c>
      <c r="C83" s="5">
        <f>IF(B83,(1-_zecdlb)^(A83-1),0)</f>
        <v/>
      </c>
      <c r="D83" s="5">
        <f>(_zgk3lw+_z7m6d8)*C83</f>
        <v/>
      </c>
      <c r="E83" s="5">
        <f>IF(B83,D83+_zmztd5-_zdd3mz-_z2y4dt,0)</f>
        <v/>
      </c>
      <c r="F83" s="5">
        <f>IF(AND(B83,A83=_ztfkfy),_z4p8is*_zh30bl,0)</f>
        <v/>
      </c>
      <c r="G83" s="5">
        <f>F83*0.13/(1+0.13)</f>
        <v/>
      </c>
      <c r="H83" s="5">
        <f>IF(B83,_z7m6d8*C83+_zz1w2z,0)</f>
        <v/>
      </c>
      <c r="I83" s="5">
        <f>H83/(1+0.13)</f>
        <v/>
      </c>
      <c r="J83" s="5">
        <f>H83-I83</f>
        <v/>
      </c>
      <c r="K83" s="5">
        <f>M82+G83</f>
        <v/>
      </c>
      <c r="L83" s="5">
        <f>MAX(0,J83-K83)</f>
        <v/>
      </c>
      <c r="M83" s="5">
        <f>MAX(0,K83-J83)</f>
        <v/>
      </c>
      <c r="N83" s="5">
        <f>L83*0.12</f>
        <v/>
      </c>
      <c r="O83" s="5">
        <f>E83-J83</f>
        <v/>
      </c>
      <c r="P83" s="5">
        <f>T82</f>
        <v/>
      </c>
      <c r="Q83" s="5">
        <f>IF(AND(B83,A83&lt;=_z2al7i),P83*_zks9j8,0)</f>
        <v/>
      </c>
      <c r="R83" s="5">
        <f>IF(AND(B83,A83&lt;=_z2al7i),_zgsfrl,0)</f>
        <v/>
      </c>
      <c r="S83" s="5">
        <f>R83-Q83</f>
        <v/>
      </c>
      <c r="T83" s="5">
        <f>MAX(0,P83-S83)</f>
        <v/>
      </c>
      <c r="U83" s="5">
        <f>IF(AND(B83,A83&lt;=_zupe8l),_z0jo6h,0)</f>
        <v/>
      </c>
      <c r="V83" s="5">
        <f>IF((_zlt415="是"),IF(A83&lt;=3,0,IF(A83&lt;=6,0.5,1)),1)</f>
        <v/>
      </c>
      <c r="W83" s="5">
        <f>_zrzkf6*V83+(1-_zrzkf6)</f>
        <v/>
      </c>
      <c r="X83" s="5">
        <f>IF(B83,O83-_zkfhzg-N83-U83-F83,0)</f>
        <v/>
      </c>
      <c r="Y83" s="5">
        <f>MAX(0,-X82)</f>
        <v/>
      </c>
      <c r="Z83" s="5">
        <f>MIN(Y82,MAX(0,(AC82+AB82+AA82+Z82+Y82)-AD82))</f>
        <v/>
      </c>
      <c r="AA83" s="5">
        <f>MIN(Z82,MAX(0,(AC82+AB82+AA82+Z82)-AD82))</f>
        <v/>
      </c>
      <c r="AB83" s="5">
        <f>MIN(AA82,MAX(0,(AC82+AB82+AA82)-AD82))</f>
        <v/>
      </c>
      <c r="AC83" s="5">
        <f>MIN(AB82,MAX(0,(AC82+AB82)-AD82))</f>
        <v/>
      </c>
      <c r="AD83" s="5">
        <f>MIN(MAX(X83,0),Y83+Z83+AA83+AB83+AC83)</f>
        <v/>
      </c>
      <c r="AE83" s="5">
        <f>MAX(X83,0)-AD83</f>
        <v/>
      </c>
      <c r="AF83" s="5">
        <f>AE83*_zk03a3*W83</f>
        <v/>
      </c>
      <c r="AG83" s="5">
        <f>IF(B83,X83-Q83,0)</f>
        <v/>
      </c>
      <c r="AH83" s="5">
        <f>MAX(0,-AG82)</f>
        <v/>
      </c>
      <c r="AI83" s="5">
        <f>MIN(AH82,MAX(0,(AL82+AK82+AJ82+AI82+AH82)-AM82))</f>
        <v/>
      </c>
      <c r="AJ83" s="5">
        <f>MIN(AI82,MAX(0,(AL82+AK82+AJ82+AI82)-AM82))</f>
        <v/>
      </c>
      <c r="AK83" s="5">
        <f>MIN(AJ82,MAX(0,(AL82+AK82+AJ82)-AM82))</f>
        <v/>
      </c>
      <c r="AL83" s="5">
        <f>MIN(AK82,MAX(0,(AL82+AK82)-AM82))</f>
        <v/>
      </c>
      <c r="AM83" s="5">
        <f>MIN(MAX(AG83,0),AH83+AI83+AJ83+AK83+AL83)</f>
        <v/>
      </c>
      <c r="AN83" s="5">
        <f>MAX(AG83,0)-AM83</f>
        <v/>
      </c>
      <c r="AO83" s="5">
        <f>AN83*_zk03a3*W83</f>
        <v/>
      </c>
      <c r="AP83" s="5">
        <f>IF(A83=_zx5hja,_zk1wd3,0)</f>
        <v/>
      </c>
      <c r="AQ83" s="5">
        <f>IF(B83,E83-_zkfhzg-L83-N83-F83+AP83,0)</f>
        <v/>
      </c>
      <c r="AR83" s="5">
        <f>AQ83-AF83</f>
        <v/>
      </c>
      <c r="AS83" s="5">
        <f>IF(B83,E83-_zkfhzg-L83-N83-F83-R83-AO83+AP83-IF(AND(A83=_zx5hja,_z2al7i&gt;_zx5hja),T83,0),0)</f>
        <v/>
      </c>
      <c r="AT83" s="5">
        <f>AT82+AR83</f>
        <v/>
      </c>
      <c r="AU83" s="5">
        <f>IF(AND(AT82&lt;0,AT83&gt;=0,AR83&gt;0),1,0)</f>
        <v/>
      </c>
      <c r="AV83" s="5">
        <f>AR83/(1+_z1ltt4)^A83</f>
        <v/>
      </c>
      <c r="AW83" s="5">
        <f>AW82+AV83</f>
        <v/>
      </c>
      <c r="AX83" s="5">
        <f>IF(AND(AW82&lt;0,AW83&gt;=0,AV83&gt;0),1,0)</f>
        <v/>
      </c>
      <c r="AY83" s="5">
        <f>(_z39asj+_zy2ig8)*C83</f>
        <v/>
      </c>
      <c r="AZ83" s="5">
        <f>IF(B83,_zkfhzg+_zdd3mz+_z2y4dt+F83-AP83,0)</f>
        <v/>
      </c>
      <c r="BA83" s="5">
        <f>IF(AQ83=0,BA82,SIGN(AQ83))</f>
        <v/>
      </c>
      <c r="BB83" s="5">
        <f>BB82+IF(OR(AQ83=0,BA82=0),0,IF(SIGN(AQ83)&lt;&gt;BA82,1,0))</f>
        <v/>
      </c>
      <c r="BC83" s="5">
        <f>IF(AR83=0,BC82,SIGN(AR83))</f>
        <v/>
      </c>
      <c r="BD83" s="5">
        <f>BD82+IF(OR(AR83=0,BC82=0),0,IF(SIGN(AR83)&lt;&gt;BC82,1,0))</f>
        <v/>
      </c>
      <c r="BE83" s="5">
        <f>IF(AS83=0,BE82,SIGN(AS83))</f>
        <v/>
      </c>
      <c r="BF83" s="5">
        <f>BF82+IF(OR(AS83=0,BE82=0),0,IF(SIGN(AS83)&lt;&gt;BE82,1,0))</f>
        <v/>
      </c>
    </row>
    <row r="84">
      <c r="A84" s="5" t="n">
        <v>20</v>
      </c>
      <c r="B84" s="5">
        <f>AND(A84&gt;=1,A84&lt;=_zx5hja)</f>
        <v/>
      </c>
      <c r="C84" s="5">
        <f>IF(B84,(1-_zecdlb)^(A84-1),0)</f>
        <v/>
      </c>
      <c r="D84" s="5">
        <f>(_zgk3lw+_z7m6d8)*C84</f>
        <v/>
      </c>
      <c r="E84" s="5">
        <f>IF(B84,D84+_zmztd5-_zdd3mz-_z2y4dt,0)</f>
        <v/>
      </c>
      <c r="F84" s="5">
        <f>IF(AND(B84,A84=_ztfkfy),_z4p8is*_zh30bl,0)</f>
        <v/>
      </c>
      <c r="G84" s="5">
        <f>F84*0.13/(1+0.13)</f>
        <v/>
      </c>
      <c r="H84" s="5">
        <f>IF(B84,_z7m6d8*C84+_zz1w2z,0)</f>
        <v/>
      </c>
      <c r="I84" s="5">
        <f>H84/(1+0.13)</f>
        <v/>
      </c>
      <c r="J84" s="5">
        <f>H84-I84</f>
        <v/>
      </c>
      <c r="K84" s="5">
        <f>M83+G84</f>
        <v/>
      </c>
      <c r="L84" s="5">
        <f>MAX(0,J84-K84)</f>
        <v/>
      </c>
      <c r="M84" s="5">
        <f>MAX(0,K84-J84)</f>
        <v/>
      </c>
      <c r="N84" s="5">
        <f>L84*0.12</f>
        <v/>
      </c>
      <c r="O84" s="5">
        <f>E84-J84</f>
        <v/>
      </c>
      <c r="P84" s="5">
        <f>T83</f>
        <v/>
      </c>
      <c r="Q84" s="5">
        <f>IF(AND(B84,A84&lt;=_z2al7i),P84*_zks9j8,0)</f>
        <v/>
      </c>
      <c r="R84" s="5">
        <f>IF(AND(B84,A84&lt;=_z2al7i),_zgsfrl,0)</f>
        <v/>
      </c>
      <c r="S84" s="5">
        <f>R84-Q84</f>
        <v/>
      </c>
      <c r="T84" s="5">
        <f>MAX(0,P84-S84)</f>
        <v/>
      </c>
      <c r="U84" s="5">
        <f>IF(AND(B84,A84&lt;=_zupe8l),_z0jo6h,0)</f>
        <v/>
      </c>
      <c r="V84" s="5">
        <f>IF((_zlt415="是"),IF(A84&lt;=3,0,IF(A84&lt;=6,0.5,1)),1)</f>
        <v/>
      </c>
      <c r="W84" s="5">
        <f>_zrzkf6*V84+(1-_zrzkf6)</f>
        <v/>
      </c>
      <c r="X84" s="5">
        <f>IF(B84,O84-_zkfhzg-N84-U84-F84,0)</f>
        <v/>
      </c>
      <c r="Y84" s="5">
        <f>MAX(0,-X83)</f>
        <v/>
      </c>
      <c r="Z84" s="5">
        <f>MIN(Y83,MAX(0,(AC83+AB83+AA83+Z83+Y83)-AD83))</f>
        <v/>
      </c>
      <c r="AA84" s="5">
        <f>MIN(Z83,MAX(0,(AC83+AB83+AA83+Z83)-AD83))</f>
        <v/>
      </c>
      <c r="AB84" s="5">
        <f>MIN(AA83,MAX(0,(AC83+AB83+AA83)-AD83))</f>
        <v/>
      </c>
      <c r="AC84" s="5">
        <f>MIN(AB83,MAX(0,(AC83+AB83)-AD83))</f>
        <v/>
      </c>
      <c r="AD84" s="5">
        <f>MIN(MAX(X84,0),Y84+Z84+AA84+AB84+AC84)</f>
        <v/>
      </c>
      <c r="AE84" s="5">
        <f>MAX(X84,0)-AD84</f>
        <v/>
      </c>
      <c r="AF84" s="5">
        <f>AE84*_zk03a3*W84</f>
        <v/>
      </c>
      <c r="AG84" s="5">
        <f>IF(B84,X84-Q84,0)</f>
        <v/>
      </c>
      <c r="AH84" s="5">
        <f>MAX(0,-AG83)</f>
        <v/>
      </c>
      <c r="AI84" s="5">
        <f>MIN(AH83,MAX(0,(AL83+AK83+AJ83+AI83+AH83)-AM83))</f>
        <v/>
      </c>
      <c r="AJ84" s="5">
        <f>MIN(AI83,MAX(0,(AL83+AK83+AJ83+AI83)-AM83))</f>
        <v/>
      </c>
      <c r="AK84" s="5">
        <f>MIN(AJ83,MAX(0,(AL83+AK83+AJ83)-AM83))</f>
        <v/>
      </c>
      <c r="AL84" s="5">
        <f>MIN(AK83,MAX(0,(AL83+AK83)-AM83))</f>
        <v/>
      </c>
      <c r="AM84" s="5">
        <f>MIN(MAX(AG84,0),AH84+AI84+AJ84+AK84+AL84)</f>
        <v/>
      </c>
      <c r="AN84" s="5">
        <f>MAX(AG84,0)-AM84</f>
        <v/>
      </c>
      <c r="AO84" s="5">
        <f>AN84*_zk03a3*W84</f>
        <v/>
      </c>
      <c r="AP84" s="5">
        <f>IF(A84=_zx5hja,_zk1wd3,0)</f>
        <v/>
      </c>
      <c r="AQ84" s="5">
        <f>IF(B84,E84-_zkfhzg-L84-N84-F84+AP84,0)</f>
        <v/>
      </c>
      <c r="AR84" s="5">
        <f>AQ84-AF84</f>
        <v/>
      </c>
      <c r="AS84" s="5">
        <f>IF(B84,E84-_zkfhzg-L84-N84-F84-R84-AO84+AP84-IF(AND(A84=_zx5hja,_z2al7i&gt;_zx5hja),T84,0),0)</f>
        <v/>
      </c>
      <c r="AT84" s="5">
        <f>AT83+AR84</f>
        <v/>
      </c>
      <c r="AU84" s="5">
        <f>IF(AND(AT83&lt;0,AT84&gt;=0,AR84&gt;0),1,0)</f>
        <v/>
      </c>
      <c r="AV84" s="5">
        <f>AR84/(1+_z1ltt4)^A84</f>
        <v/>
      </c>
      <c r="AW84" s="5">
        <f>AW83+AV84</f>
        <v/>
      </c>
      <c r="AX84" s="5">
        <f>IF(AND(AW83&lt;0,AW84&gt;=0,AV84&gt;0),1,0)</f>
        <v/>
      </c>
      <c r="AY84" s="5">
        <f>(_z39asj+_zy2ig8)*C84</f>
        <v/>
      </c>
      <c r="AZ84" s="5">
        <f>IF(B84,_zkfhzg+_zdd3mz+_z2y4dt+F84-AP84,0)</f>
        <v/>
      </c>
      <c r="BA84" s="5">
        <f>IF(AQ84=0,BA83,SIGN(AQ84))</f>
        <v/>
      </c>
      <c r="BB84" s="5">
        <f>BB83+IF(OR(AQ84=0,BA83=0),0,IF(SIGN(AQ84)&lt;&gt;BA83,1,0))</f>
        <v/>
      </c>
      <c r="BC84" s="5">
        <f>IF(AR84=0,BC83,SIGN(AR84))</f>
        <v/>
      </c>
      <c r="BD84" s="5">
        <f>BD83+IF(OR(AR84=0,BC83=0),0,IF(SIGN(AR84)&lt;&gt;BC83,1,0))</f>
        <v/>
      </c>
      <c r="BE84" s="5">
        <f>IF(AS84=0,BE83,SIGN(AS84))</f>
        <v/>
      </c>
      <c r="BF84" s="5">
        <f>BF83+IF(OR(AS84=0,BE83=0),0,IF(SIGN(AS84)&lt;&gt;BE83,1,0))</f>
        <v/>
      </c>
    </row>
    <row r="85">
      <c r="A85" s="5" t="n">
        <v>21</v>
      </c>
      <c r="B85" s="5">
        <f>AND(A85&gt;=1,A85&lt;=_zx5hja)</f>
        <v/>
      </c>
      <c r="C85" s="5">
        <f>IF(B85,(1-_zecdlb)^(A85-1),0)</f>
        <v/>
      </c>
      <c r="D85" s="5">
        <f>(_zgk3lw+_z7m6d8)*C85</f>
        <v/>
      </c>
      <c r="E85" s="5">
        <f>IF(B85,D85+_zmztd5-_zdd3mz-_z2y4dt,0)</f>
        <v/>
      </c>
      <c r="F85" s="5">
        <f>IF(AND(B85,A85=_ztfkfy),_z4p8is*_zh30bl,0)</f>
        <v/>
      </c>
      <c r="G85" s="5">
        <f>F85*0.13/(1+0.13)</f>
        <v/>
      </c>
      <c r="H85" s="5">
        <f>IF(B85,_z7m6d8*C85+_zz1w2z,0)</f>
        <v/>
      </c>
      <c r="I85" s="5">
        <f>H85/(1+0.13)</f>
        <v/>
      </c>
      <c r="J85" s="5">
        <f>H85-I85</f>
        <v/>
      </c>
      <c r="K85" s="5">
        <f>M84+G85</f>
        <v/>
      </c>
      <c r="L85" s="5">
        <f>MAX(0,J85-K85)</f>
        <v/>
      </c>
      <c r="M85" s="5">
        <f>MAX(0,K85-J85)</f>
        <v/>
      </c>
      <c r="N85" s="5">
        <f>L85*0.12</f>
        <v/>
      </c>
      <c r="O85" s="5">
        <f>E85-J85</f>
        <v/>
      </c>
      <c r="P85" s="5">
        <f>T84</f>
        <v/>
      </c>
      <c r="Q85" s="5">
        <f>IF(AND(B85,A85&lt;=_z2al7i),P85*_zks9j8,0)</f>
        <v/>
      </c>
      <c r="R85" s="5">
        <f>IF(AND(B85,A85&lt;=_z2al7i),_zgsfrl,0)</f>
        <v/>
      </c>
      <c r="S85" s="5">
        <f>R85-Q85</f>
        <v/>
      </c>
      <c r="T85" s="5">
        <f>MAX(0,P85-S85)</f>
        <v/>
      </c>
      <c r="U85" s="5">
        <f>IF(AND(B85,A85&lt;=_zupe8l),_z0jo6h,0)</f>
        <v/>
      </c>
      <c r="V85" s="5">
        <f>IF((_zlt415="是"),IF(A85&lt;=3,0,IF(A85&lt;=6,0.5,1)),1)</f>
        <v/>
      </c>
      <c r="W85" s="5">
        <f>_zrzkf6*V85+(1-_zrzkf6)</f>
        <v/>
      </c>
      <c r="X85" s="5">
        <f>IF(B85,O85-_zkfhzg-N85-U85-F85,0)</f>
        <v/>
      </c>
      <c r="Y85" s="5">
        <f>MAX(0,-X84)</f>
        <v/>
      </c>
      <c r="Z85" s="5">
        <f>MIN(Y84,MAX(0,(AC84+AB84+AA84+Z84+Y84)-AD84))</f>
        <v/>
      </c>
      <c r="AA85" s="5">
        <f>MIN(Z84,MAX(0,(AC84+AB84+AA84+Z84)-AD84))</f>
        <v/>
      </c>
      <c r="AB85" s="5">
        <f>MIN(AA84,MAX(0,(AC84+AB84+AA84)-AD84))</f>
        <v/>
      </c>
      <c r="AC85" s="5">
        <f>MIN(AB84,MAX(0,(AC84+AB84)-AD84))</f>
        <v/>
      </c>
      <c r="AD85" s="5">
        <f>MIN(MAX(X85,0),Y85+Z85+AA85+AB85+AC85)</f>
        <v/>
      </c>
      <c r="AE85" s="5">
        <f>MAX(X85,0)-AD85</f>
        <v/>
      </c>
      <c r="AF85" s="5">
        <f>AE85*_zk03a3*W85</f>
        <v/>
      </c>
      <c r="AG85" s="5">
        <f>IF(B85,X85-Q85,0)</f>
        <v/>
      </c>
      <c r="AH85" s="5">
        <f>MAX(0,-AG84)</f>
        <v/>
      </c>
      <c r="AI85" s="5">
        <f>MIN(AH84,MAX(0,(AL84+AK84+AJ84+AI84+AH84)-AM84))</f>
        <v/>
      </c>
      <c r="AJ85" s="5">
        <f>MIN(AI84,MAX(0,(AL84+AK84+AJ84+AI84)-AM84))</f>
        <v/>
      </c>
      <c r="AK85" s="5">
        <f>MIN(AJ84,MAX(0,(AL84+AK84+AJ84)-AM84))</f>
        <v/>
      </c>
      <c r="AL85" s="5">
        <f>MIN(AK84,MAX(0,(AL84+AK84)-AM84))</f>
        <v/>
      </c>
      <c r="AM85" s="5">
        <f>MIN(MAX(AG85,0),AH85+AI85+AJ85+AK85+AL85)</f>
        <v/>
      </c>
      <c r="AN85" s="5">
        <f>MAX(AG85,0)-AM85</f>
        <v/>
      </c>
      <c r="AO85" s="5">
        <f>AN85*_zk03a3*W85</f>
        <v/>
      </c>
      <c r="AP85" s="5">
        <f>IF(A85=_zx5hja,_zk1wd3,0)</f>
        <v/>
      </c>
      <c r="AQ85" s="5">
        <f>IF(B85,E85-_zkfhzg-L85-N85-F85+AP85,0)</f>
        <v/>
      </c>
      <c r="AR85" s="5">
        <f>AQ85-AF85</f>
        <v/>
      </c>
      <c r="AS85" s="5">
        <f>IF(B85,E85-_zkfhzg-L85-N85-F85-R85-AO85+AP85-IF(AND(A85=_zx5hja,_z2al7i&gt;_zx5hja),T85,0),0)</f>
        <v/>
      </c>
      <c r="AT85" s="5">
        <f>AT84+AR85</f>
        <v/>
      </c>
      <c r="AU85" s="5">
        <f>IF(AND(AT84&lt;0,AT85&gt;=0,AR85&gt;0),1,0)</f>
        <v/>
      </c>
      <c r="AV85" s="5">
        <f>AR85/(1+_z1ltt4)^A85</f>
        <v/>
      </c>
      <c r="AW85" s="5">
        <f>AW84+AV85</f>
        <v/>
      </c>
      <c r="AX85" s="5">
        <f>IF(AND(AW84&lt;0,AW85&gt;=0,AV85&gt;0),1,0)</f>
        <v/>
      </c>
      <c r="AY85" s="5">
        <f>(_z39asj+_zy2ig8)*C85</f>
        <v/>
      </c>
      <c r="AZ85" s="5">
        <f>IF(B85,_zkfhzg+_zdd3mz+_z2y4dt+F85-AP85,0)</f>
        <v/>
      </c>
      <c r="BA85" s="5">
        <f>IF(AQ85=0,BA84,SIGN(AQ85))</f>
        <v/>
      </c>
      <c r="BB85" s="5">
        <f>BB84+IF(OR(AQ85=0,BA84=0),0,IF(SIGN(AQ85)&lt;&gt;BA84,1,0))</f>
        <v/>
      </c>
      <c r="BC85" s="5">
        <f>IF(AR85=0,BC84,SIGN(AR85))</f>
        <v/>
      </c>
      <c r="BD85" s="5">
        <f>BD84+IF(OR(AR85=0,BC84=0),0,IF(SIGN(AR85)&lt;&gt;BC84,1,0))</f>
        <v/>
      </c>
      <c r="BE85" s="5">
        <f>IF(AS85=0,BE84,SIGN(AS85))</f>
        <v/>
      </c>
      <c r="BF85" s="5">
        <f>BF84+IF(OR(AS85=0,BE84=0),0,IF(SIGN(AS85)&lt;&gt;BE84,1,0))</f>
        <v/>
      </c>
    </row>
    <row r="86">
      <c r="A86" s="5" t="n">
        <v>22</v>
      </c>
      <c r="B86" s="5">
        <f>AND(A86&gt;=1,A86&lt;=_zx5hja)</f>
        <v/>
      </c>
      <c r="C86" s="5">
        <f>IF(B86,(1-_zecdlb)^(A86-1),0)</f>
        <v/>
      </c>
      <c r="D86" s="5">
        <f>(_zgk3lw+_z7m6d8)*C86</f>
        <v/>
      </c>
      <c r="E86" s="5">
        <f>IF(B86,D86+_zmztd5-_zdd3mz-_z2y4dt,0)</f>
        <v/>
      </c>
      <c r="F86" s="5">
        <f>IF(AND(B86,A86=_ztfkfy),_z4p8is*_zh30bl,0)</f>
        <v/>
      </c>
      <c r="G86" s="5">
        <f>F86*0.13/(1+0.13)</f>
        <v/>
      </c>
      <c r="H86" s="5">
        <f>IF(B86,_z7m6d8*C86+_zz1w2z,0)</f>
        <v/>
      </c>
      <c r="I86" s="5">
        <f>H86/(1+0.13)</f>
        <v/>
      </c>
      <c r="J86" s="5">
        <f>H86-I86</f>
        <v/>
      </c>
      <c r="K86" s="5">
        <f>M85+G86</f>
        <v/>
      </c>
      <c r="L86" s="5">
        <f>MAX(0,J86-K86)</f>
        <v/>
      </c>
      <c r="M86" s="5">
        <f>MAX(0,K86-J86)</f>
        <v/>
      </c>
      <c r="N86" s="5">
        <f>L86*0.12</f>
        <v/>
      </c>
      <c r="O86" s="5">
        <f>E86-J86</f>
        <v/>
      </c>
      <c r="P86" s="5">
        <f>T85</f>
        <v/>
      </c>
      <c r="Q86" s="5">
        <f>IF(AND(B86,A86&lt;=_z2al7i),P86*_zks9j8,0)</f>
        <v/>
      </c>
      <c r="R86" s="5">
        <f>IF(AND(B86,A86&lt;=_z2al7i),_zgsfrl,0)</f>
        <v/>
      </c>
      <c r="S86" s="5">
        <f>R86-Q86</f>
        <v/>
      </c>
      <c r="T86" s="5">
        <f>MAX(0,P86-S86)</f>
        <v/>
      </c>
      <c r="U86" s="5">
        <f>IF(AND(B86,A86&lt;=_zupe8l),_z0jo6h,0)</f>
        <v/>
      </c>
      <c r="V86" s="5">
        <f>IF((_zlt415="是"),IF(A86&lt;=3,0,IF(A86&lt;=6,0.5,1)),1)</f>
        <v/>
      </c>
      <c r="W86" s="5">
        <f>_zrzkf6*V86+(1-_zrzkf6)</f>
        <v/>
      </c>
      <c r="X86" s="5">
        <f>IF(B86,O86-_zkfhzg-N86-U86-F86,0)</f>
        <v/>
      </c>
      <c r="Y86" s="5">
        <f>MAX(0,-X85)</f>
        <v/>
      </c>
      <c r="Z86" s="5">
        <f>MIN(Y85,MAX(0,(AC85+AB85+AA85+Z85+Y85)-AD85))</f>
        <v/>
      </c>
      <c r="AA86" s="5">
        <f>MIN(Z85,MAX(0,(AC85+AB85+AA85+Z85)-AD85))</f>
        <v/>
      </c>
      <c r="AB86" s="5">
        <f>MIN(AA85,MAX(0,(AC85+AB85+AA85)-AD85))</f>
        <v/>
      </c>
      <c r="AC86" s="5">
        <f>MIN(AB85,MAX(0,(AC85+AB85)-AD85))</f>
        <v/>
      </c>
      <c r="AD86" s="5">
        <f>MIN(MAX(X86,0),Y86+Z86+AA86+AB86+AC86)</f>
        <v/>
      </c>
      <c r="AE86" s="5">
        <f>MAX(X86,0)-AD86</f>
        <v/>
      </c>
      <c r="AF86" s="5">
        <f>AE86*_zk03a3*W86</f>
        <v/>
      </c>
      <c r="AG86" s="5">
        <f>IF(B86,X86-Q86,0)</f>
        <v/>
      </c>
      <c r="AH86" s="5">
        <f>MAX(0,-AG85)</f>
        <v/>
      </c>
      <c r="AI86" s="5">
        <f>MIN(AH85,MAX(0,(AL85+AK85+AJ85+AI85+AH85)-AM85))</f>
        <v/>
      </c>
      <c r="AJ86" s="5">
        <f>MIN(AI85,MAX(0,(AL85+AK85+AJ85+AI85)-AM85))</f>
        <v/>
      </c>
      <c r="AK86" s="5">
        <f>MIN(AJ85,MAX(0,(AL85+AK85+AJ85)-AM85))</f>
        <v/>
      </c>
      <c r="AL86" s="5">
        <f>MIN(AK85,MAX(0,(AL85+AK85)-AM85))</f>
        <v/>
      </c>
      <c r="AM86" s="5">
        <f>MIN(MAX(AG86,0),AH86+AI86+AJ86+AK86+AL86)</f>
        <v/>
      </c>
      <c r="AN86" s="5">
        <f>MAX(AG86,0)-AM86</f>
        <v/>
      </c>
      <c r="AO86" s="5">
        <f>AN86*_zk03a3*W86</f>
        <v/>
      </c>
      <c r="AP86" s="5">
        <f>IF(A86=_zx5hja,_zk1wd3,0)</f>
        <v/>
      </c>
      <c r="AQ86" s="5">
        <f>IF(B86,E86-_zkfhzg-L86-N86-F86+AP86,0)</f>
        <v/>
      </c>
      <c r="AR86" s="5">
        <f>AQ86-AF86</f>
        <v/>
      </c>
      <c r="AS86" s="5">
        <f>IF(B86,E86-_zkfhzg-L86-N86-F86-R86-AO86+AP86-IF(AND(A86=_zx5hja,_z2al7i&gt;_zx5hja),T86,0),0)</f>
        <v/>
      </c>
      <c r="AT86" s="5">
        <f>AT85+AR86</f>
        <v/>
      </c>
      <c r="AU86" s="5">
        <f>IF(AND(AT85&lt;0,AT86&gt;=0,AR86&gt;0),1,0)</f>
        <v/>
      </c>
      <c r="AV86" s="5">
        <f>AR86/(1+_z1ltt4)^A86</f>
        <v/>
      </c>
      <c r="AW86" s="5">
        <f>AW85+AV86</f>
        <v/>
      </c>
      <c r="AX86" s="5">
        <f>IF(AND(AW85&lt;0,AW86&gt;=0,AV86&gt;0),1,0)</f>
        <v/>
      </c>
      <c r="AY86" s="5">
        <f>(_z39asj+_zy2ig8)*C86</f>
        <v/>
      </c>
      <c r="AZ86" s="5">
        <f>IF(B86,_zkfhzg+_zdd3mz+_z2y4dt+F86-AP86,0)</f>
        <v/>
      </c>
      <c r="BA86" s="5">
        <f>IF(AQ86=0,BA85,SIGN(AQ86))</f>
        <v/>
      </c>
      <c r="BB86" s="5">
        <f>BB85+IF(OR(AQ86=0,BA85=0),0,IF(SIGN(AQ86)&lt;&gt;BA85,1,0))</f>
        <v/>
      </c>
      <c r="BC86" s="5">
        <f>IF(AR86=0,BC85,SIGN(AR86))</f>
        <v/>
      </c>
      <c r="BD86" s="5">
        <f>BD85+IF(OR(AR86=0,BC85=0),0,IF(SIGN(AR86)&lt;&gt;BC85,1,0))</f>
        <v/>
      </c>
      <c r="BE86" s="5">
        <f>IF(AS86=0,BE85,SIGN(AS86))</f>
        <v/>
      </c>
      <c r="BF86" s="5">
        <f>BF85+IF(OR(AS86=0,BE85=0),0,IF(SIGN(AS86)&lt;&gt;BE85,1,0))</f>
        <v/>
      </c>
    </row>
    <row r="87">
      <c r="A87" s="5" t="n">
        <v>23</v>
      </c>
      <c r="B87" s="5">
        <f>AND(A87&gt;=1,A87&lt;=_zx5hja)</f>
        <v/>
      </c>
      <c r="C87" s="5">
        <f>IF(B87,(1-_zecdlb)^(A87-1),0)</f>
        <v/>
      </c>
      <c r="D87" s="5">
        <f>(_zgk3lw+_z7m6d8)*C87</f>
        <v/>
      </c>
      <c r="E87" s="5">
        <f>IF(B87,D87+_zmztd5-_zdd3mz-_z2y4dt,0)</f>
        <v/>
      </c>
      <c r="F87" s="5">
        <f>IF(AND(B87,A87=_ztfkfy),_z4p8is*_zh30bl,0)</f>
        <v/>
      </c>
      <c r="G87" s="5">
        <f>F87*0.13/(1+0.13)</f>
        <v/>
      </c>
      <c r="H87" s="5">
        <f>IF(B87,_z7m6d8*C87+_zz1w2z,0)</f>
        <v/>
      </c>
      <c r="I87" s="5">
        <f>H87/(1+0.13)</f>
        <v/>
      </c>
      <c r="J87" s="5">
        <f>H87-I87</f>
        <v/>
      </c>
      <c r="K87" s="5">
        <f>M86+G87</f>
        <v/>
      </c>
      <c r="L87" s="5">
        <f>MAX(0,J87-K87)</f>
        <v/>
      </c>
      <c r="M87" s="5">
        <f>MAX(0,K87-J87)</f>
        <v/>
      </c>
      <c r="N87" s="5">
        <f>L87*0.12</f>
        <v/>
      </c>
      <c r="O87" s="5">
        <f>E87-J87</f>
        <v/>
      </c>
      <c r="P87" s="5">
        <f>T86</f>
        <v/>
      </c>
      <c r="Q87" s="5">
        <f>IF(AND(B87,A87&lt;=_z2al7i),P87*_zks9j8,0)</f>
        <v/>
      </c>
      <c r="R87" s="5">
        <f>IF(AND(B87,A87&lt;=_z2al7i),_zgsfrl,0)</f>
        <v/>
      </c>
      <c r="S87" s="5">
        <f>R87-Q87</f>
        <v/>
      </c>
      <c r="T87" s="5">
        <f>MAX(0,P87-S87)</f>
        <v/>
      </c>
      <c r="U87" s="5">
        <f>IF(AND(B87,A87&lt;=_zupe8l),_z0jo6h,0)</f>
        <v/>
      </c>
      <c r="V87" s="5">
        <f>IF((_zlt415="是"),IF(A87&lt;=3,0,IF(A87&lt;=6,0.5,1)),1)</f>
        <v/>
      </c>
      <c r="W87" s="5">
        <f>_zrzkf6*V87+(1-_zrzkf6)</f>
        <v/>
      </c>
      <c r="X87" s="5">
        <f>IF(B87,O87-_zkfhzg-N87-U87-F87,0)</f>
        <v/>
      </c>
      <c r="Y87" s="5">
        <f>MAX(0,-X86)</f>
        <v/>
      </c>
      <c r="Z87" s="5">
        <f>MIN(Y86,MAX(0,(AC86+AB86+AA86+Z86+Y86)-AD86))</f>
        <v/>
      </c>
      <c r="AA87" s="5">
        <f>MIN(Z86,MAX(0,(AC86+AB86+AA86+Z86)-AD86))</f>
        <v/>
      </c>
      <c r="AB87" s="5">
        <f>MIN(AA86,MAX(0,(AC86+AB86+AA86)-AD86))</f>
        <v/>
      </c>
      <c r="AC87" s="5">
        <f>MIN(AB86,MAX(0,(AC86+AB86)-AD86))</f>
        <v/>
      </c>
      <c r="AD87" s="5">
        <f>MIN(MAX(X87,0),Y87+Z87+AA87+AB87+AC87)</f>
        <v/>
      </c>
      <c r="AE87" s="5">
        <f>MAX(X87,0)-AD87</f>
        <v/>
      </c>
      <c r="AF87" s="5">
        <f>AE87*_zk03a3*W87</f>
        <v/>
      </c>
      <c r="AG87" s="5">
        <f>IF(B87,X87-Q87,0)</f>
        <v/>
      </c>
      <c r="AH87" s="5">
        <f>MAX(0,-AG86)</f>
        <v/>
      </c>
      <c r="AI87" s="5">
        <f>MIN(AH86,MAX(0,(AL86+AK86+AJ86+AI86+AH86)-AM86))</f>
        <v/>
      </c>
      <c r="AJ87" s="5">
        <f>MIN(AI86,MAX(0,(AL86+AK86+AJ86+AI86)-AM86))</f>
        <v/>
      </c>
      <c r="AK87" s="5">
        <f>MIN(AJ86,MAX(0,(AL86+AK86+AJ86)-AM86))</f>
        <v/>
      </c>
      <c r="AL87" s="5">
        <f>MIN(AK86,MAX(0,(AL86+AK86)-AM86))</f>
        <v/>
      </c>
      <c r="AM87" s="5">
        <f>MIN(MAX(AG87,0),AH87+AI87+AJ87+AK87+AL87)</f>
        <v/>
      </c>
      <c r="AN87" s="5">
        <f>MAX(AG87,0)-AM87</f>
        <v/>
      </c>
      <c r="AO87" s="5">
        <f>AN87*_zk03a3*W87</f>
        <v/>
      </c>
      <c r="AP87" s="5">
        <f>IF(A87=_zx5hja,_zk1wd3,0)</f>
        <v/>
      </c>
      <c r="AQ87" s="5">
        <f>IF(B87,E87-_zkfhzg-L87-N87-F87+AP87,0)</f>
        <v/>
      </c>
      <c r="AR87" s="5">
        <f>AQ87-AF87</f>
        <v/>
      </c>
      <c r="AS87" s="5">
        <f>IF(B87,E87-_zkfhzg-L87-N87-F87-R87-AO87+AP87-IF(AND(A87=_zx5hja,_z2al7i&gt;_zx5hja),T87,0),0)</f>
        <v/>
      </c>
      <c r="AT87" s="5">
        <f>AT86+AR87</f>
        <v/>
      </c>
      <c r="AU87" s="5">
        <f>IF(AND(AT86&lt;0,AT87&gt;=0,AR87&gt;0),1,0)</f>
        <v/>
      </c>
      <c r="AV87" s="5">
        <f>AR87/(1+_z1ltt4)^A87</f>
        <v/>
      </c>
      <c r="AW87" s="5">
        <f>AW86+AV87</f>
        <v/>
      </c>
      <c r="AX87" s="5">
        <f>IF(AND(AW86&lt;0,AW87&gt;=0,AV87&gt;0),1,0)</f>
        <v/>
      </c>
      <c r="AY87" s="5">
        <f>(_z39asj+_zy2ig8)*C87</f>
        <v/>
      </c>
      <c r="AZ87" s="5">
        <f>IF(B87,_zkfhzg+_zdd3mz+_z2y4dt+F87-AP87,0)</f>
        <v/>
      </c>
      <c r="BA87" s="5">
        <f>IF(AQ87=0,BA86,SIGN(AQ87))</f>
        <v/>
      </c>
      <c r="BB87" s="5">
        <f>BB86+IF(OR(AQ87=0,BA86=0),0,IF(SIGN(AQ87)&lt;&gt;BA86,1,0))</f>
        <v/>
      </c>
      <c r="BC87" s="5">
        <f>IF(AR87=0,BC86,SIGN(AR87))</f>
        <v/>
      </c>
      <c r="BD87" s="5">
        <f>BD86+IF(OR(AR87=0,BC86=0),0,IF(SIGN(AR87)&lt;&gt;BC86,1,0))</f>
        <v/>
      </c>
      <c r="BE87" s="5">
        <f>IF(AS87=0,BE86,SIGN(AS87))</f>
        <v/>
      </c>
      <c r="BF87" s="5">
        <f>BF86+IF(OR(AS87=0,BE86=0),0,IF(SIGN(AS87)&lt;&gt;BE86,1,0))</f>
        <v/>
      </c>
    </row>
    <row r="88">
      <c r="A88" s="5" t="n">
        <v>24</v>
      </c>
      <c r="B88" s="5">
        <f>AND(A88&gt;=1,A88&lt;=_zx5hja)</f>
        <v/>
      </c>
      <c r="C88" s="5">
        <f>IF(B88,(1-_zecdlb)^(A88-1),0)</f>
        <v/>
      </c>
      <c r="D88" s="5">
        <f>(_zgk3lw+_z7m6d8)*C88</f>
        <v/>
      </c>
      <c r="E88" s="5">
        <f>IF(B88,D88+_zmztd5-_zdd3mz-_z2y4dt,0)</f>
        <v/>
      </c>
      <c r="F88" s="5">
        <f>IF(AND(B88,A88=_ztfkfy),_z4p8is*_zh30bl,0)</f>
        <v/>
      </c>
      <c r="G88" s="5">
        <f>F88*0.13/(1+0.13)</f>
        <v/>
      </c>
      <c r="H88" s="5">
        <f>IF(B88,_z7m6d8*C88+_zz1w2z,0)</f>
        <v/>
      </c>
      <c r="I88" s="5">
        <f>H88/(1+0.13)</f>
        <v/>
      </c>
      <c r="J88" s="5">
        <f>H88-I88</f>
        <v/>
      </c>
      <c r="K88" s="5">
        <f>M87+G88</f>
        <v/>
      </c>
      <c r="L88" s="5">
        <f>MAX(0,J88-K88)</f>
        <v/>
      </c>
      <c r="M88" s="5">
        <f>MAX(0,K88-J88)</f>
        <v/>
      </c>
      <c r="N88" s="5">
        <f>L88*0.12</f>
        <v/>
      </c>
      <c r="O88" s="5">
        <f>E88-J88</f>
        <v/>
      </c>
      <c r="P88" s="5">
        <f>T87</f>
        <v/>
      </c>
      <c r="Q88" s="5">
        <f>IF(AND(B88,A88&lt;=_z2al7i),P88*_zks9j8,0)</f>
        <v/>
      </c>
      <c r="R88" s="5">
        <f>IF(AND(B88,A88&lt;=_z2al7i),_zgsfrl,0)</f>
        <v/>
      </c>
      <c r="S88" s="5">
        <f>R88-Q88</f>
        <v/>
      </c>
      <c r="T88" s="5">
        <f>MAX(0,P88-S88)</f>
        <v/>
      </c>
      <c r="U88" s="5">
        <f>IF(AND(B88,A88&lt;=_zupe8l),_z0jo6h,0)</f>
        <v/>
      </c>
      <c r="V88" s="5">
        <f>IF((_zlt415="是"),IF(A88&lt;=3,0,IF(A88&lt;=6,0.5,1)),1)</f>
        <v/>
      </c>
      <c r="W88" s="5">
        <f>_zrzkf6*V88+(1-_zrzkf6)</f>
        <v/>
      </c>
      <c r="X88" s="5">
        <f>IF(B88,O88-_zkfhzg-N88-U88-F88,0)</f>
        <v/>
      </c>
      <c r="Y88" s="5">
        <f>MAX(0,-X87)</f>
        <v/>
      </c>
      <c r="Z88" s="5">
        <f>MIN(Y87,MAX(0,(AC87+AB87+AA87+Z87+Y87)-AD87))</f>
        <v/>
      </c>
      <c r="AA88" s="5">
        <f>MIN(Z87,MAX(0,(AC87+AB87+AA87+Z87)-AD87))</f>
        <v/>
      </c>
      <c r="AB88" s="5">
        <f>MIN(AA87,MAX(0,(AC87+AB87+AA87)-AD87))</f>
        <v/>
      </c>
      <c r="AC88" s="5">
        <f>MIN(AB87,MAX(0,(AC87+AB87)-AD87))</f>
        <v/>
      </c>
      <c r="AD88" s="5">
        <f>MIN(MAX(X88,0),Y88+Z88+AA88+AB88+AC88)</f>
        <v/>
      </c>
      <c r="AE88" s="5">
        <f>MAX(X88,0)-AD88</f>
        <v/>
      </c>
      <c r="AF88" s="5">
        <f>AE88*_zk03a3*W88</f>
        <v/>
      </c>
      <c r="AG88" s="5">
        <f>IF(B88,X88-Q88,0)</f>
        <v/>
      </c>
      <c r="AH88" s="5">
        <f>MAX(0,-AG87)</f>
        <v/>
      </c>
      <c r="AI88" s="5">
        <f>MIN(AH87,MAX(0,(AL87+AK87+AJ87+AI87+AH87)-AM87))</f>
        <v/>
      </c>
      <c r="AJ88" s="5">
        <f>MIN(AI87,MAX(0,(AL87+AK87+AJ87+AI87)-AM87))</f>
        <v/>
      </c>
      <c r="AK88" s="5">
        <f>MIN(AJ87,MAX(0,(AL87+AK87+AJ87)-AM87))</f>
        <v/>
      </c>
      <c r="AL88" s="5">
        <f>MIN(AK87,MAX(0,(AL87+AK87)-AM87))</f>
        <v/>
      </c>
      <c r="AM88" s="5">
        <f>MIN(MAX(AG88,0),AH88+AI88+AJ88+AK88+AL88)</f>
        <v/>
      </c>
      <c r="AN88" s="5">
        <f>MAX(AG88,0)-AM88</f>
        <v/>
      </c>
      <c r="AO88" s="5">
        <f>AN88*_zk03a3*W88</f>
        <v/>
      </c>
      <c r="AP88" s="5">
        <f>IF(A88=_zx5hja,_zk1wd3,0)</f>
        <v/>
      </c>
      <c r="AQ88" s="5">
        <f>IF(B88,E88-_zkfhzg-L88-N88-F88+AP88,0)</f>
        <v/>
      </c>
      <c r="AR88" s="5">
        <f>AQ88-AF88</f>
        <v/>
      </c>
      <c r="AS88" s="5">
        <f>IF(B88,E88-_zkfhzg-L88-N88-F88-R88-AO88+AP88-IF(AND(A88=_zx5hja,_z2al7i&gt;_zx5hja),T88,0),0)</f>
        <v/>
      </c>
      <c r="AT88" s="5">
        <f>AT87+AR88</f>
        <v/>
      </c>
      <c r="AU88" s="5">
        <f>IF(AND(AT87&lt;0,AT88&gt;=0,AR88&gt;0),1,0)</f>
        <v/>
      </c>
      <c r="AV88" s="5">
        <f>AR88/(1+_z1ltt4)^A88</f>
        <v/>
      </c>
      <c r="AW88" s="5">
        <f>AW87+AV88</f>
        <v/>
      </c>
      <c r="AX88" s="5">
        <f>IF(AND(AW87&lt;0,AW88&gt;=0,AV88&gt;0),1,0)</f>
        <v/>
      </c>
      <c r="AY88" s="5">
        <f>(_z39asj+_zy2ig8)*C88</f>
        <v/>
      </c>
      <c r="AZ88" s="5">
        <f>IF(B88,_zkfhzg+_zdd3mz+_z2y4dt+F88-AP88,0)</f>
        <v/>
      </c>
      <c r="BA88" s="5">
        <f>IF(AQ88=0,BA87,SIGN(AQ88))</f>
        <v/>
      </c>
      <c r="BB88" s="5">
        <f>BB87+IF(OR(AQ88=0,BA87=0),0,IF(SIGN(AQ88)&lt;&gt;BA87,1,0))</f>
        <v/>
      </c>
      <c r="BC88" s="5">
        <f>IF(AR88=0,BC87,SIGN(AR88))</f>
        <v/>
      </c>
      <c r="BD88" s="5">
        <f>BD87+IF(OR(AR88=0,BC87=0),0,IF(SIGN(AR88)&lt;&gt;BC87,1,0))</f>
        <v/>
      </c>
      <c r="BE88" s="5">
        <f>IF(AS88=0,BE87,SIGN(AS88))</f>
        <v/>
      </c>
      <c r="BF88" s="5">
        <f>BF87+IF(OR(AS88=0,BE87=0),0,IF(SIGN(AS88)&lt;&gt;BE87,1,0))</f>
        <v/>
      </c>
    </row>
    <row r="89">
      <c r="A89" s="5" t="n">
        <v>25</v>
      </c>
      <c r="B89" s="5">
        <f>AND(A89&gt;=1,A89&lt;=_zx5hja)</f>
        <v/>
      </c>
      <c r="C89" s="5">
        <f>IF(B89,(1-_zecdlb)^(A89-1),0)</f>
        <v/>
      </c>
      <c r="D89" s="5">
        <f>(_zgk3lw+_z7m6d8)*C89</f>
        <v/>
      </c>
      <c r="E89" s="5">
        <f>IF(B89,D89+_zmztd5-_zdd3mz-_z2y4dt,0)</f>
        <v/>
      </c>
      <c r="F89" s="5">
        <f>IF(AND(B89,A89=_ztfkfy),_z4p8is*_zh30bl,0)</f>
        <v/>
      </c>
      <c r="G89" s="5">
        <f>F89*0.13/(1+0.13)</f>
        <v/>
      </c>
      <c r="H89" s="5">
        <f>IF(B89,_z7m6d8*C89+_zz1w2z,0)</f>
        <v/>
      </c>
      <c r="I89" s="5">
        <f>H89/(1+0.13)</f>
        <v/>
      </c>
      <c r="J89" s="5">
        <f>H89-I89</f>
        <v/>
      </c>
      <c r="K89" s="5">
        <f>M88+G89</f>
        <v/>
      </c>
      <c r="L89" s="5">
        <f>MAX(0,J89-K89)</f>
        <v/>
      </c>
      <c r="M89" s="5">
        <f>MAX(0,K89-J89)</f>
        <v/>
      </c>
      <c r="N89" s="5">
        <f>L89*0.12</f>
        <v/>
      </c>
      <c r="O89" s="5">
        <f>E89-J89</f>
        <v/>
      </c>
      <c r="P89" s="5">
        <f>T88</f>
        <v/>
      </c>
      <c r="Q89" s="5">
        <f>IF(AND(B89,A89&lt;=_z2al7i),P89*_zks9j8,0)</f>
        <v/>
      </c>
      <c r="R89" s="5">
        <f>IF(AND(B89,A89&lt;=_z2al7i),_zgsfrl,0)</f>
        <v/>
      </c>
      <c r="S89" s="5">
        <f>R89-Q89</f>
        <v/>
      </c>
      <c r="T89" s="5">
        <f>MAX(0,P89-S89)</f>
        <v/>
      </c>
      <c r="U89" s="5">
        <f>IF(AND(B89,A89&lt;=_zupe8l),_z0jo6h,0)</f>
        <v/>
      </c>
      <c r="V89" s="5">
        <f>IF((_zlt415="是"),IF(A89&lt;=3,0,IF(A89&lt;=6,0.5,1)),1)</f>
        <v/>
      </c>
      <c r="W89" s="5">
        <f>_zrzkf6*V89+(1-_zrzkf6)</f>
        <v/>
      </c>
      <c r="X89" s="5">
        <f>IF(B89,O89-_zkfhzg-N89-U89-F89,0)</f>
        <v/>
      </c>
      <c r="Y89" s="5">
        <f>MAX(0,-X88)</f>
        <v/>
      </c>
      <c r="Z89" s="5">
        <f>MIN(Y88,MAX(0,(AC88+AB88+AA88+Z88+Y88)-AD88))</f>
        <v/>
      </c>
      <c r="AA89" s="5">
        <f>MIN(Z88,MAX(0,(AC88+AB88+AA88+Z88)-AD88))</f>
        <v/>
      </c>
      <c r="AB89" s="5">
        <f>MIN(AA88,MAX(0,(AC88+AB88+AA88)-AD88))</f>
        <v/>
      </c>
      <c r="AC89" s="5">
        <f>MIN(AB88,MAX(0,(AC88+AB88)-AD88))</f>
        <v/>
      </c>
      <c r="AD89" s="5">
        <f>MIN(MAX(X89,0),Y89+Z89+AA89+AB89+AC89)</f>
        <v/>
      </c>
      <c r="AE89" s="5">
        <f>MAX(X89,0)-AD89</f>
        <v/>
      </c>
      <c r="AF89" s="5">
        <f>AE89*_zk03a3*W89</f>
        <v/>
      </c>
      <c r="AG89" s="5">
        <f>IF(B89,X89-Q89,0)</f>
        <v/>
      </c>
      <c r="AH89" s="5">
        <f>MAX(0,-AG88)</f>
        <v/>
      </c>
      <c r="AI89" s="5">
        <f>MIN(AH88,MAX(0,(AL88+AK88+AJ88+AI88+AH88)-AM88))</f>
        <v/>
      </c>
      <c r="AJ89" s="5">
        <f>MIN(AI88,MAX(0,(AL88+AK88+AJ88+AI88)-AM88))</f>
        <v/>
      </c>
      <c r="AK89" s="5">
        <f>MIN(AJ88,MAX(0,(AL88+AK88+AJ88)-AM88))</f>
        <v/>
      </c>
      <c r="AL89" s="5">
        <f>MIN(AK88,MAX(0,(AL88+AK88)-AM88))</f>
        <v/>
      </c>
      <c r="AM89" s="5">
        <f>MIN(MAX(AG89,0),AH89+AI89+AJ89+AK89+AL89)</f>
        <v/>
      </c>
      <c r="AN89" s="5">
        <f>MAX(AG89,0)-AM89</f>
        <v/>
      </c>
      <c r="AO89" s="5">
        <f>AN89*_zk03a3*W89</f>
        <v/>
      </c>
      <c r="AP89" s="5">
        <f>IF(A89=_zx5hja,_zk1wd3,0)</f>
        <v/>
      </c>
      <c r="AQ89" s="5">
        <f>IF(B89,E89-_zkfhzg-L89-N89-F89+AP89,0)</f>
        <v/>
      </c>
      <c r="AR89" s="5">
        <f>AQ89-AF89</f>
        <v/>
      </c>
      <c r="AS89" s="5">
        <f>IF(B89,E89-_zkfhzg-L89-N89-F89-R89-AO89+AP89-IF(AND(A89=_zx5hja,_z2al7i&gt;_zx5hja),T89,0),0)</f>
        <v/>
      </c>
      <c r="AT89" s="5">
        <f>AT88+AR89</f>
        <v/>
      </c>
      <c r="AU89" s="5">
        <f>IF(AND(AT88&lt;0,AT89&gt;=0,AR89&gt;0),1,0)</f>
        <v/>
      </c>
      <c r="AV89" s="5">
        <f>AR89/(1+_z1ltt4)^A89</f>
        <v/>
      </c>
      <c r="AW89" s="5">
        <f>AW88+AV89</f>
        <v/>
      </c>
      <c r="AX89" s="5">
        <f>IF(AND(AW88&lt;0,AW89&gt;=0,AV89&gt;0),1,0)</f>
        <v/>
      </c>
      <c r="AY89" s="5">
        <f>(_z39asj+_zy2ig8)*C89</f>
        <v/>
      </c>
      <c r="AZ89" s="5">
        <f>IF(B89,_zkfhzg+_zdd3mz+_z2y4dt+F89-AP89,0)</f>
        <v/>
      </c>
      <c r="BA89" s="5">
        <f>IF(AQ89=0,BA88,SIGN(AQ89))</f>
        <v/>
      </c>
      <c r="BB89" s="5">
        <f>BB88+IF(OR(AQ89=0,BA88=0),0,IF(SIGN(AQ89)&lt;&gt;BA88,1,0))</f>
        <v/>
      </c>
      <c r="BC89" s="5">
        <f>IF(AR89=0,BC88,SIGN(AR89))</f>
        <v/>
      </c>
      <c r="BD89" s="5">
        <f>BD88+IF(OR(AR89=0,BC88=0),0,IF(SIGN(AR89)&lt;&gt;BC88,1,0))</f>
        <v/>
      </c>
      <c r="BE89" s="5">
        <f>IF(AS89=0,BE88,SIGN(AS89))</f>
        <v/>
      </c>
      <c r="BF89" s="5">
        <f>BF88+IF(OR(AS89=0,BE88=0),0,IF(SIGN(AS89)&lt;&gt;BE88,1,0))</f>
        <v/>
      </c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5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  <c r="AC90" s="5" t="n"/>
      <c r="AD90" s="5" t="n"/>
      <c r="AE90" s="5" t="n"/>
      <c r="AF90" s="5" t="n"/>
      <c r="AG90" s="5" t="n"/>
      <c r="AH90" s="5" t="n"/>
      <c r="AI90" s="5" t="n"/>
      <c r="AJ90" s="5" t="n"/>
      <c r="AK90" s="5" t="n"/>
      <c r="AL90" s="5" t="n"/>
      <c r="AM90" s="5" t="n"/>
      <c r="AN90" s="5" t="n"/>
      <c r="AO90" s="5" t="n"/>
      <c r="AP90" s="5" t="n"/>
      <c r="AQ90" s="5" t="n"/>
      <c r="AR90" s="5" t="n"/>
      <c r="AS90" s="5" t="n"/>
      <c r="AT90" s="5" t="n"/>
      <c r="AU90" s="5" t="n"/>
      <c r="AV90" s="5" t="n"/>
      <c r="AW90" s="5" t="n"/>
      <c r="AX90" s="5" t="n"/>
      <c r="AY90" s="5" t="n"/>
      <c r="AZ90" s="5" t="n"/>
      <c r="BA90" s="5" t="n"/>
      <c r="BB90" s="5" t="n"/>
      <c r="BC90" s="5" t="n"/>
      <c r="BD90" s="5" t="n"/>
      <c r="BE90" s="5" t="n"/>
      <c r="BF90" s="5" t="n"/>
    </row>
    <row r="91">
      <c r="A91" s="5" t="inlineStr">
        <is>
          <t>chk_pre_lo</t>
        </is>
      </c>
      <c r="B91" s="5">
        <f>SUMPRODUCT(_z9arcc,0.01^-_zc53rh)</f>
        <v/>
      </c>
      <c r="C91" s="5" t="n"/>
      <c r="D91" s="5" t="n"/>
      <c r="E91" s="5" t="n"/>
      <c r="F91" s="5" t="n"/>
      <c r="G91" s="5" t="n"/>
      <c r="H91" s="5" t="n"/>
      <c r="I91" s="5" t="n"/>
      <c r="J91" s="5" t="n"/>
      <c r="K91" s="5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  <c r="AC91" s="5" t="n"/>
      <c r="AD91" s="5" t="n"/>
      <c r="AE91" s="5" t="n"/>
      <c r="AF91" s="5" t="n"/>
      <c r="AG91" s="5" t="n"/>
      <c r="AH91" s="5" t="n"/>
      <c r="AI91" s="5" t="n"/>
      <c r="AJ91" s="5" t="n"/>
      <c r="AK91" s="5" t="n"/>
      <c r="AL91" s="5" t="n"/>
      <c r="AM91" s="5" t="n"/>
      <c r="AN91" s="5" t="n"/>
      <c r="AO91" s="5" t="n"/>
      <c r="AP91" s="5" t="n"/>
      <c r="AQ91" s="5" t="n"/>
      <c r="AR91" s="5" t="n"/>
      <c r="AS91" s="5" t="n"/>
      <c r="AT91" s="5" t="n"/>
      <c r="AU91" s="5" t="n"/>
      <c r="AV91" s="5" t="n"/>
      <c r="AW91" s="5" t="n"/>
      <c r="AX91" s="5" t="n"/>
      <c r="AY91" s="5" t="n"/>
      <c r="AZ91" s="5" t="n"/>
      <c r="BA91" s="5" t="n"/>
      <c r="BB91" s="5" t="n"/>
      <c r="BC91" s="5" t="n"/>
      <c r="BD91" s="5" t="n"/>
      <c r="BE91" s="5" t="n"/>
      <c r="BF91" s="5" t="n"/>
    </row>
    <row r="92">
      <c r="A92" s="5" t="inlineStr">
        <is>
          <t>chk_pre_hi</t>
        </is>
      </c>
      <c r="B92" s="5">
        <f>SUMPRODUCT(_z9arcc,4^-_zc53rh)</f>
        <v/>
      </c>
      <c r="C92" s="5" t="n"/>
      <c r="D92" s="5" t="n"/>
      <c r="E92" s="5" t="n"/>
      <c r="F92" s="5" t="n"/>
      <c r="G92" s="5" t="n"/>
      <c r="H92" s="5" t="n"/>
      <c r="I92" s="5" t="n"/>
      <c r="J92" s="5" t="n"/>
      <c r="K92" s="5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  <c r="AC92" s="5" t="n"/>
      <c r="AD92" s="5" t="n"/>
      <c r="AE92" s="5" t="n"/>
      <c r="AF92" s="5" t="n"/>
      <c r="AG92" s="5" t="n"/>
      <c r="AH92" s="5" t="n"/>
      <c r="AI92" s="5" t="n"/>
      <c r="AJ92" s="5" t="n"/>
      <c r="AK92" s="5" t="n"/>
      <c r="AL92" s="5" t="n"/>
      <c r="AM92" s="5" t="n"/>
      <c r="AN92" s="5" t="n"/>
      <c r="AO92" s="5" t="n"/>
      <c r="AP92" s="5" t="n"/>
      <c r="AQ92" s="5" t="n"/>
      <c r="AR92" s="5" t="n"/>
      <c r="AS92" s="5" t="n"/>
      <c r="AT92" s="5" t="n"/>
      <c r="AU92" s="5" t="n"/>
      <c r="AV92" s="5" t="n"/>
      <c r="AW92" s="5" t="n"/>
      <c r="AX92" s="5" t="n"/>
      <c r="AY92" s="5" t="n"/>
      <c r="AZ92" s="5" t="n"/>
      <c r="BA92" s="5" t="n"/>
      <c r="BB92" s="5" t="n"/>
      <c r="BC92" s="5" t="n"/>
      <c r="BD92" s="5" t="n"/>
      <c r="BE92" s="5" t="n"/>
      <c r="BF92" s="5" t="n"/>
    </row>
    <row r="93">
      <c r="A93" s="5" t="inlineStr">
        <is>
          <t>chk_post_lo</t>
        </is>
      </c>
      <c r="B93" s="5">
        <f>SUMPRODUCT(_ze1s6n,0.01^-_zc53rh)</f>
        <v/>
      </c>
      <c r="C93" s="5" t="n"/>
      <c r="D93" s="5" t="n"/>
      <c r="E93" s="5" t="n"/>
      <c r="F93" s="5" t="n"/>
      <c r="G93" s="5" t="n"/>
      <c r="H93" s="5" t="n"/>
      <c r="I93" s="5" t="n"/>
      <c r="J93" s="5" t="n"/>
      <c r="K93" s="5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  <c r="AC93" s="5" t="n"/>
      <c r="AD93" s="5" t="n"/>
      <c r="AE93" s="5" t="n"/>
      <c r="AF93" s="5" t="n"/>
      <c r="AG93" s="5" t="n"/>
      <c r="AH93" s="5" t="n"/>
      <c r="AI93" s="5" t="n"/>
      <c r="AJ93" s="5" t="n"/>
      <c r="AK93" s="5" t="n"/>
      <c r="AL93" s="5" t="n"/>
      <c r="AM93" s="5" t="n"/>
      <c r="AN93" s="5" t="n"/>
      <c r="AO93" s="5" t="n"/>
      <c r="AP93" s="5" t="n"/>
      <c r="AQ93" s="5" t="n"/>
      <c r="AR93" s="5" t="n"/>
      <c r="AS93" s="5" t="n"/>
      <c r="AT93" s="5" t="n"/>
      <c r="AU93" s="5" t="n"/>
      <c r="AV93" s="5" t="n"/>
      <c r="AW93" s="5" t="n"/>
      <c r="AX93" s="5" t="n"/>
      <c r="AY93" s="5" t="n"/>
      <c r="AZ93" s="5" t="n"/>
      <c r="BA93" s="5" t="n"/>
      <c r="BB93" s="5" t="n"/>
      <c r="BC93" s="5" t="n"/>
      <c r="BD93" s="5" t="n"/>
      <c r="BE93" s="5" t="n"/>
      <c r="BF93" s="5" t="n"/>
    </row>
    <row r="94">
      <c r="A94" s="5" t="inlineStr">
        <is>
          <t>chk_post_hi</t>
        </is>
      </c>
      <c r="B94" s="5">
        <f>SUMPRODUCT(_ze1s6n,4^-_zc53rh)</f>
        <v/>
      </c>
      <c r="C94" s="5" t="n"/>
      <c r="D94" s="5" t="n"/>
      <c r="E94" s="5" t="n"/>
      <c r="F94" s="5" t="n"/>
      <c r="G94" s="5" t="n"/>
      <c r="H94" s="5" t="n"/>
      <c r="I94" s="5" t="n"/>
      <c r="J94" s="5" t="n"/>
      <c r="K94" s="5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  <c r="AC94" s="5" t="n"/>
      <c r="AD94" s="5" t="n"/>
      <c r="AE94" s="5" t="n"/>
      <c r="AF94" s="5" t="n"/>
      <c r="AG94" s="5" t="n"/>
      <c r="AH94" s="5" t="n"/>
      <c r="AI94" s="5" t="n"/>
      <c r="AJ94" s="5" t="n"/>
      <c r="AK94" s="5" t="n"/>
      <c r="AL94" s="5" t="n"/>
      <c r="AM94" s="5" t="n"/>
      <c r="AN94" s="5" t="n"/>
      <c r="AO94" s="5" t="n"/>
      <c r="AP94" s="5" t="n"/>
      <c r="AQ94" s="5" t="n"/>
      <c r="AR94" s="5" t="n"/>
      <c r="AS94" s="5" t="n"/>
      <c r="AT94" s="5" t="n"/>
      <c r="AU94" s="5" t="n"/>
      <c r="AV94" s="5" t="n"/>
      <c r="AW94" s="5" t="n"/>
      <c r="AX94" s="5" t="n"/>
      <c r="AY94" s="5" t="n"/>
      <c r="AZ94" s="5" t="n"/>
      <c r="BA94" s="5" t="n"/>
      <c r="BB94" s="5" t="n"/>
      <c r="BC94" s="5" t="n"/>
      <c r="BD94" s="5" t="n"/>
      <c r="BE94" s="5" t="n"/>
      <c r="BF94" s="5" t="n"/>
    </row>
    <row r="95">
      <c r="A95" s="5" t="inlineStr">
        <is>
          <t>chk_eq_lo</t>
        </is>
      </c>
      <c r="B95" s="5">
        <f>SUMPRODUCT(_zfbj01,0.01^-_zc53rh)</f>
        <v/>
      </c>
      <c r="C95" s="5" t="n"/>
      <c r="D95" s="5" t="n"/>
      <c r="E95" s="5" t="n"/>
      <c r="F95" s="5" t="n"/>
      <c r="G95" s="5" t="n"/>
      <c r="H95" s="5" t="n"/>
      <c r="I95" s="5" t="n"/>
      <c r="J95" s="5" t="n"/>
      <c r="K95" s="5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  <c r="AC95" s="5" t="n"/>
      <c r="AD95" s="5" t="n"/>
      <c r="AE95" s="5" t="n"/>
      <c r="AF95" s="5" t="n"/>
      <c r="AG95" s="5" t="n"/>
      <c r="AH95" s="5" t="n"/>
      <c r="AI95" s="5" t="n"/>
      <c r="AJ95" s="5" t="n"/>
      <c r="AK95" s="5" t="n"/>
      <c r="AL95" s="5" t="n"/>
      <c r="AM95" s="5" t="n"/>
      <c r="AN95" s="5" t="n"/>
      <c r="AO95" s="5" t="n"/>
      <c r="AP95" s="5" t="n"/>
      <c r="AQ95" s="5" t="n"/>
      <c r="AR95" s="5" t="n"/>
      <c r="AS95" s="5" t="n"/>
      <c r="AT95" s="5" t="n"/>
      <c r="AU95" s="5" t="n"/>
      <c r="AV95" s="5" t="n"/>
      <c r="AW95" s="5" t="n"/>
      <c r="AX95" s="5" t="n"/>
      <c r="AY95" s="5" t="n"/>
      <c r="AZ95" s="5" t="n"/>
      <c r="BA95" s="5" t="n"/>
      <c r="BB95" s="5" t="n"/>
      <c r="BC95" s="5" t="n"/>
      <c r="BD95" s="5" t="n"/>
      <c r="BE95" s="5" t="n"/>
      <c r="BF95" s="5" t="n"/>
    </row>
    <row r="96">
      <c r="A96" s="5" t="inlineStr">
        <is>
          <t>chk_eq_hi</t>
        </is>
      </c>
      <c r="B96" s="5">
        <f>SUMPRODUCT(_zfbj01,4^-_zc53rh)</f>
        <v/>
      </c>
      <c r="C96" s="5" t="n"/>
      <c r="D96" s="5" t="n"/>
      <c r="E96" s="5" t="n"/>
      <c r="F96" s="5" t="n"/>
      <c r="G96" s="5" t="n"/>
      <c r="H96" s="5" t="n"/>
      <c r="I96" s="5" t="n"/>
      <c r="J96" s="5" t="n"/>
      <c r="K96" s="5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  <c r="AC96" s="5" t="n"/>
      <c r="AD96" s="5" t="n"/>
      <c r="AE96" s="5" t="n"/>
      <c r="AF96" s="5" t="n"/>
      <c r="AG96" s="5" t="n"/>
      <c r="AH96" s="5" t="n"/>
      <c r="AI96" s="5" t="n"/>
      <c r="AJ96" s="5" t="n"/>
      <c r="AK96" s="5" t="n"/>
      <c r="AL96" s="5" t="n"/>
      <c r="AM96" s="5" t="n"/>
      <c r="AN96" s="5" t="n"/>
      <c r="AO96" s="5" t="n"/>
      <c r="AP96" s="5" t="n"/>
      <c r="AQ96" s="5" t="n"/>
      <c r="AR96" s="5" t="n"/>
      <c r="AS96" s="5" t="n"/>
      <c r="AT96" s="5" t="n"/>
      <c r="AU96" s="5" t="n"/>
      <c r="AV96" s="5" t="n"/>
      <c r="AW96" s="5" t="n"/>
      <c r="AX96" s="5" t="n"/>
      <c r="AY96" s="5" t="n"/>
      <c r="AZ96" s="5" t="n"/>
      <c r="BA96" s="5" t="n"/>
      <c r="BB96" s="5" t="n"/>
      <c r="BC96" s="5" t="n"/>
      <c r="BD96" s="5" t="n"/>
      <c r="BE96" s="5" t="n"/>
      <c r="BF96" s="5" t="n"/>
    </row>
    <row r="97">
      <c r="A97" s="5" t="inlineStr">
        <is>
          <t>irr_pre</t>
        </is>
      </c>
      <c r="B97" s="5">
        <f>IF(_z9rhi7&gt;25,"运营期超25年·请用网页版测算",IF(_zsqbm8*_zzj3wj&gt;0,IF(BB89&gt;1,"非常规现金流，须人工复核","全周期未回收"),IFERROR(IRR(_z9arcc),"—")))</f>
        <v/>
      </c>
      <c r="C97" s="5" t="n"/>
      <c r="D97" s="5" t="n"/>
      <c r="E97" s="5" t="n"/>
      <c r="F97" s="5" t="n"/>
      <c r="G97" s="5" t="n"/>
      <c r="H97" s="5" t="n"/>
      <c r="I97" s="5" t="n"/>
      <c r="J97" s="5" t="n"/>
      <c r="K97" s="5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  <c r="AC97" s="5" t="n"/>
      <c r="AD97" s="5" t="n"/>
      <c r="AE97" s="5" t="n"/>
      <c r="AF97" s="5" t="n"/>
      <c r="AG97" s="5" t="n"/>
      <c r="AH97" s="5" t="n"/>
      <c r="AI97" s="5" t="n"/>
      <c r="AJ97" s="5" t="n"/>
      <c r="AK97" s="5" t="n"/>
      <c r="AL97" s="5" t="n"/>
      <c r="AM97" s="5" t="n"/>
      <c r="AN97" s="5" t="n"/>
      <c r="AO97" s="5" t="n"/>
      <c r="AP97" s="5" t="n"/>
      <c r="AQ97" s="5" t="n"/>
      <c r="AR97" s="5" t="n"/>
      <c r="AS97" s="5" t="n"/>
      <c r="AT97" s="5" t="n"/>
      <c r="AU97" s="5" t="n"/>
      <c r="AV97" s="5" t="n"/>
      <c r="AW97" s="5" t="n"/>
      <c r="AX97" s="5" t="n"/>
      <c r="AY97" s="5" t="n"/>
      <c r="AZ97" s="5" t="n"/>
      <c r="BA97" s="5" t="n"/>
      <c r="BB97" s="5" t="n"/>
      <c r="BC97" s="5" t="n"/>
      <c r="BD97" s="5" t="n"/>
      <c r="BE97" s="5" t="n"/>
      <c r="BF97" s="5" t="n"/>
    </row>
    <row r="98">
      <c r="A98" s="5" t="inlineStr">
        <is>
          <t>irr_post</t>
        </is>
      </c>
      <c r="B98" s="5">
        <f>IF(_z9rhi7&gt;25,"运营期超25年·请用网页版测算",IF(_zqsho0*_zpy13v&gt;0,IF(BD89&gt;1,"非常规现金流，须人工复核","全周期未回收"),IFERROR(IRR(_ze1s6n),"—")))</f>
        <v/>
      </c>
      <c r="C98" s="5" t="n"/>
      <c r="D98" s="5" t="n"/>
      <c r="E98" s="5" t="n"/>
      <c r="F98" s="5" t="n"/>
      <c r="G98" s="5" t="n"/>
      <c r="H98" s="5" t="n"/>
      <c r="I98" s="5" t="n"/>
      <c r="J98" s="5" t="n"/>
      <c r="K98" s="5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  <c r="AC98" s="5" t="n"/>
      <c r="AD98" s="5" t="n"/>
      <c r="AE98" s="5" t="n"/>
      <c r="AF98" s="5" t="n"/>
      <c r="AG98" s="5" t="n"/>
      <c r="AH98" s="5" t="n"/>
      <c r="AI98" s="5" t="n"/>
      <c r="AJ98" s="5" t="n"/>
      <c r="AK98" s="5" t="n"/>
      <c r="AL98" s="5" t="n"/>
      <c r="AM98" s="5" t="n"/>
      <c r="AN98" s="5" t="n"/>
      <c r="AO98" s="5" t="n"/>
      <c r="AP98" s="5" t="n"/>
      <c r="AQ98" s="5" t="n"/>
      <c r="AR98" s="5" t="n"/>
      <c r="AS98" s="5" t="n"/>
      <c r="AT98" s="5" t="n"/>
      <c r="AU98" s="5" t="n"/>
      <c r="AV98" s="5" t="n"/>
      <c r="AW98" s="5" t="n"/>
      <c r="AX98" s="5" t="n"/>
      <c r="AY98" s="5" t="n"/>
      <c r="AZ98" s="5" t="n"/>
      <c r="BA98" s="5" t="n"/>
      <c r="BB98" s="5" t="n"/>
      <c r="BC98" s="5" t="n"/>
      <c r="BD98" s="5" t="n"/>
      <c r="BE98" s="5" t="n"/>
      <c r="BF98" s="5" t="n"/>
    </row>
    <row r="99">
      <c r="A99" s="5" t="inlineStr">
        <is>
          <t>irr_eq</t>
        </is>
      </c>
      <c r="B99" s="5">
        <f>IF(_z9rhi7&gt;25,"运营期超25年·请用网页版测算",IF(_zxdbxd*_ztsxiq&gt;0,IF(BF89&gt;1,"非常规现金流，须人工复核","全周期未回收"),IFERROR(IRR(_zfbj01),"—")))</f>
        <v/>
      </c>
      <c r="C99" s="5" t="n"/>
      <c r="D99" s="5" t="n"/>
      <c r="E99" s="5" t="n"/>
      <c r="F99" s="5" t="n"/>
      <c r="G99" s="5" t="n"/>
      <c r="H99" s="5" t="n"/>
      <c r="I99" s="5" t="n"/>
      <c r="J99" s="5" t="n"/>
      <c r="K99" s="5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  <c r="AC99" s="5" t="n"/>
      <c r="AD99" s="5" t="n"/>
      <c r="AE99" s="5" t="n"/>
      <c r="AF99" s="5" t="n"/>
      <c r="AG99" s="5" t="n"/>
      <c r="AH99" s="5" t="n"/>
      <c r="AI99" s="5" t="n"/>
      <c r="AJ99" s="5" t="n"/>
      <c r="AK99" s="5" t="n"/>
      <c r="AL99" s="5" t="n"/>
      <c r="AM99" s="5" t="n"/>
      <c r="AN99" s="5" t="n"/>
      <c r="AO99" s="5" t="n"/>
      <c r="AP99" s="5" t="n"/>
      <c r="AQ99" s="5" t="n"/>
      <c r="AR99" s="5" t="n"/>
      <c r="AS99" s="5" t="n"/>
      <c r="AT99" s="5" t="n"/>
      <c r="AU99" s="5" t="n"/>
      <c r="AV99" s="5" t="n"/>
      <c r="AW99" s="5" t="n"/>
      <c r="AX99" s="5" t="n"/>
      <c r="AY99" s="5" t="n"/>
      <c r="AZ99" s="5" t="n"/>
      <c r="BA99" s="5" t="n"/>
      <c r="BB99" s="5" t="n"/>
      <c r="BC99" s="5" t="n"/>
      <c r="BD99" s="5" t="n"/>
      <c r="BE99" s="5" t="n"/>
      <c r="BF99" s="5" t="n"/>
    </row>
    <row r="100">
      <c r="A100" s="5" t="inlineStr">
        <is>
          <t>npv</t>
        </is>
      </c>
      <c r="B100" s="5">
        <f>IF(_z9rhi7&gt;25,"运营期超25年·请用网页版测算",INDEX(_ze1s6n,1)+NPV(_z1ltt4,_zlo46y))</f>
        <v/>
      </c>
      <c r="C100" s="5" t="n"/>
      <c r="D100" s="5" t="n"/>
      <c r="E100" s="5" t="n"/>
      <c r="F100" s="5" t="n"/>
      <c r="G100" s="5" t="n"/>
      <c r="H100" s="5" t="n"/>
      <c r="I100" s="5" t="n"/>
      <c r="J100" s="5" t="n"/>
      <c r="K100" s="5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  <c r="AC100" s="5" t="n"/>
      <c r="AD100" s="5" t="n"/>
      <c r="AE100" s="5" t="n"/>
      <c r="AF100" s="5" t="n"/>
      <c r="AG100" s="5" t="n"/>
      <c r="AH100" s="5" t="n"/>
      <c r="AI100" s="5" t="n"/>
      <c r="AJ100" s="5" t="n"/>
      <c r="AK100" s="5" t="n"/>
      <c r="AL100" s="5" t="n"/>
      <c r="AM100" s="5" t="n"/>
      <c r="AN100" s="5" t="n"/>
      <c r="AO100" s="5" t="n"/>
      <c r="AP100" s="5" t="n"/>
      <c r="AQ100" s="5" t="n"/>
      <c r="AR100" s="5" t="n"/>
      <c r="AS100" s="5" t="n"/>
      <c r="AT100" s="5" t="n"/>
      <c r="AU100" s="5" t="n"/>
      <c r="AV100" s="5" t="n"/>
      <c r="AW100" s="5" t="n"/>
      <c r="AX100" s="5" t="n"/>
      <c r="AY100" s="5" t="n"/>
      <c r="AZ100" s="5" t="n"/>
      <c r="BA100" s="5" t="n"/>
      <c r="BB100" s="5" t="n"/>
      <c r="BC100" s="5" t="n"/>
      <c r="BD100" s="5" t="n"/>
      <c r="BE100" s="5" t="n"/>
      <c r="BF100" s="5" t="n"/>
    </row>
    <row r="101">
      <c r="A101" s="5" t="inlineStr">
        <is>
          <t>payback_s</t>
        </is>
      </c>
      <c r="B101" s="5">
        <f>IF(_z9rhi7&gt;25,"运营期超25年·请用网页版测算",IFERROR(MATCH(1,_z4ca63,0)-2+ABS(INDEX(_zeuabd,MATCH(1,_z4ca63,0)-1))/INDEX(_ze1s6n,MATCH(1,_z4ca63,0)),"超运营期"))</f>
        <v/>
      </c>
      <c r="C101" s="5" t="n"/>
      <c r="D101" s="5" t="n"/>
      <c r="E101" s="5" t="n"/>
      <c r="F101" s="5" t="n"/>
      <c r="G101" s="5" t="n"/>
      <c r="H101" s="5" t="n"/>
      <c r="I101" s="5" t="n"/>
      <c r="J101" s="5" t="n"/>
      <c r="K101" s="5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  <c r="AC101" s="5" t="n"/>
      <c r="AD101" s="5" t="n"/>
      <c r="AE101" s="5" t="n"/>
      <c r="AF101" s="5" t="n"/>
      <c r="AG101" s="5" t="n"/>
      <c r="AH101" s="5" t="n"/>
      <c r="AI101" s="5" t="n"/>
      <c r="AJ101" s="5" t="n"/>
      <c r="AK101" s="5" t="n"/>
      <c r="AL101" s="5" t="n"/>
      <c r="AM101" s="5" t="n"/>
      <c r="AN101" s="5" t="n"/>
      <c r="AO101" s="5" t="n"/>
      <c r="AP101" s="5" t="n"/>
      <c r="AQ101" s="5" t="n"/>
      <c r="AR101" s="5" t="n"/>
      <c r="AS101" s="5" t="n"/>
      <c r="AT101" s="5" t="n"/>
      <c r="AU101" s="5" t="n"/>
      <c r="AV101" s="5" t="n"/>
      <c r="AW101" s="5" t="n"/>
      <c r="AX101" s="5" t="n"/>
      <c r="AY101" s="5" t="n"/>
      <c r="AZ101" s="5" t="n"/>
      <c r="BA101" s="5" t="n"/>
      <c r="BB101" s="5" t="n"/>
      <c r="BC101" s="5" t="n"/>
      <c r="BD101" s="5" t="n"/>
      <c r="BE101" s="5" t="n"/>
      <c r="BF101" s="5" t="n"/>
    </row>
    <row r="102">
      <c r="A102" s="5" t="inlineStr">
        <is>
          <t>payback_d</t>
        </is>
      </c>
      <c r="B102" s="5">
        <f>IF(_z9rhi7&gt;25,"运营期超25年·请用网页版测算",IFERROR(MATCH(1,_zo2cnc,0)-2+ABS(INDEX(_zxzots,MATCH(1,_zo2cnc,0)-1))/INDEX(_zxlxm4,MATCH(1,_zo2cnc,0)),"超运营期"))</f>
        <v/>
      </c>
      <c r="C102" s="5" t="n"/>
      <c r="D102" s="5" t="n"/>
      <c r="E102" s="5" t="n"/>
      <c r="F102" s="5" t="n"/>
      <c r="G102" s="5" t="n"/>
      <c r="H102" s="5" t="n"/>
      <c r="I102" s="5" t="n"/>
      <c r="J102" s="5" t="n"/>
      <c r="K102" s="5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  <c r="AC102" s="5" t="n"/>
      <c r="AD102" s="5" t="n"/>
      <c r="AE102" s="5" t="n"/>
      <c r="AF102" s="5" t="n"/>
      <c r="AG102" s="5" t="n"/>
      <c r="AH102" s="5" t="n"/>
      <c r="AI102" s="5" t="n"/>
      <c r="AJ102" s="5" t="n"/>
      <c r="AK102" s="5" t="n"/>
      <c r="AL102" s="5" t="n"/>
      <c r="AM102" s="5" t="n"/>
      <c r="AN102" s="5" t="n"/>
      <c r="AO102" s="5" t="n"/>
      <c r="AP102" s="5" t="n"/>
      <c r="AQ102" s="5" t="n"/>
      <c r="AR102" s="5" t="n"/>
      <c r="AS102" s="5" t="n"/>
      <c r="AT102" s="5" t="n"/>
      <c r="AU102" s="5" t="n"/>
      <c r="AV102" s="5" t="n"/>
      <c r="AW102" s="5" t="n"/>
      <c r="AX102" s="5" t="n"/>
      <c r="AY102" s="5" t="n"/>
      <c r="AZ102" s="5" t="n"/>
      <c r="BA102" s="5" t="n"/>
      <c r="BB102" s="5" t="n"/>
      <c r="BC102" s="5" t="n"/>
      <c r="BD102" s="5" t="n"/>
      <c r="BE102" s="5" t="n"/>
      <c r="BF102" s="5" t="n"/>
    </row>
    <row r="103">
      <c r="A103" s="5" t="inlineStr">
        <is>
          <t>lcoe</t>
        </is>
      </c>
      <c r="B103" s="5">
        <f>IF(_z9rhi7&gt;25,"运营期超25年·请用网页版测算",IF(NPV(_z1ltt4,_zgl7j8)&gt;0,(_zbb0h1+NPV(_z1ltt4,_zzgx74))/NPV(_z1ltt4,_zgl7j8),"—"))</f>
        <v/>
      </c>
      <c r="C103" s="5" t="n"/>
      <c r="D103" s="5" t="n"/>
      <c r="E103" s="5" t="n"/>
      <c r="F103" s="5" t="n"/>
      <c r="G103" s="5" t="n"/>
      <c r="H103" s="5" t="n"/>
      <c r="I103" s="5" t="n"/>
      <c r="J103" s="5" t="n"/>
      <c r="K103" s="5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  <c r="AC103" s="5" t="n"/>
      <c r="AD103" s="5" t="n"/>
      <c r="AE103" s="5" t="n"/>
      <c r="AF103" s="5" t="n"/>
      <c r="AG103" s="5" t="n"/>
      <c r="AH103" s="5" t="n"/>
      <c r="AI103" s="5" t="n"/>
      <c r="AJ103" s="5" t="n"/>
      <c r="AK103" s="5" t="n"/>
      <c r="AL103" s="5" t="n"/>
      <c r="AM103" s="5" t="n"/>
      <c r="AN103" s="5" t="n"/>
      <c r="AO103" s="5" t="n"/>
      <c r="AP103" s="5" t="n"/>
      <c r="AQ103" s="5" t="n"/>
      <c r="AR103" s="5" t="n"/>
      <c r="AS103" s="5" t="n"/>
      <c r="AT103" s="5" t="n"/>
      <c r="AU103" s="5" t="n"/>
      <c r="AV103" s="5" t="n"/>
      <c r="AW103" s="5" t="n"/>
      <c r="AX103" s="5" t="n"/>
      <c r="AY103" s="5" t="n"/>
      <c r="AZ103" s="5" t="n"/>
      <c r="BA103" s="5" t="n"/>
      <c r="BB103" s="5" t="n"/>
      <c r="BC103" s="5" t="n"/>
      <c r="BD103" s="5" t="n"/>
      <c r="BE103" s="5" t="n"/>
      <c r="BF103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介子九维 JIEZIJIUWEI</dc:creator>
  <dc:title xmlns:dc="http://purl.org/dc/elements/1.1/">智能微电网经济评价 v2.1</dc:title>
  <dc:description xmlns:dc="http://purl.org/dc/elements/1.1/">本工具由介子九维（JIEZIJIUWEI）制作并享有著作权。</dc:description>
  <dc:subject xmlns:dc="http://purl.org/dc/elements/1.1/">新能源测算工具箱</dc:subject>
  <dcterms:created xmlns:dcterms="http://purl.org/dc/terms/" xmlns:xsi="http://www.w3.org/2001/XMLSchema-instance" xsi:type="dcterms:W3CDTF">2026-07-08T08:43:22Z</dcterms:created>
  <dcterms:modified xmlns:dcterms="http://purl.org/dc/terms/" xmlns:xsi="http://www.w3.org/2001/XMLSchema-instance" xsi:type="dcterms:W3CDTF">2026-07-08T08:43:22Z</dcterms:modified>
  <cp:lastModifiedBy>介子九维 JIEZIJIUWEI</cp:lastModifiedBy>
</cp:coreProperties>
</file>